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E:\FORMULA RATES SPP\Annual Update AEP West Trans\True Ups\2025 Rate Year\As Filed\"/>
    </mc:Choice>
  </mc:AlternateContent>
  <xr:revisionPtr revIDLastSave="0" documentId="13_ncr:1_{587C7644-6EAB-4FB9-9129-835CAAE31D51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structions" sheetId="33" r:id="rId1"/>
    <sheet name="20XX NOLC Refund Detail" sheetId="34" r:id="rId2"/>
    <sheet name="Summary" sheetId="29" r:id="rId3"/>
    <sheet name="Pivot" sheetId="31" r:id="rId4"/>
    <sheet name="Transactions" sheetId="18" r:id="rId5"/>
  </sheets>
  <definedNames>
    <definedName name="_xlnm._FilterDatabase" localSheetId="4" hidden="1">Transactions!$A$15:$R$211</definedName>
    <definedName name="AS1_1999" localSheetId="4">Transactions!$C$19:$J$26</definedName>
    <definedName name="AS1_1999">#REF!</definedName>
    <definedName name="Avg_Annual_FERC_Rate">#REF!</definedName>
    <definedName name="etec">#REF!</definedName>
    <definedName name="fake">#REF!</definedName>
    <definedName name="greenbelt">#REF!</definedName>
    <definedName name="janetec">#REF!</definedName>
    <definedName name="lighthouse">#REF!</definedName>
    <definedName name="ntec">#REF!</definedName>
    <definedName name="ompa">#REF!</definedName>
    <definedName name="_xlnm.Print_Area" localSheetId="0">Instructions!$A$1:$R$19</definedName>
    <definedName name="_xlnm.Print_Area" localSheetId="2">Summary!$C$1:$I$40</definedName>
    <definedName name="_xlnm.Print_Area" localSheetId="4">Transactions!$A$1:$R$212</definedName>
    <definedName name="_xlnm.Print_Titles" localSheetId="3">Pivot!$3:$4</definedName>
    <definedName name="_xlnm.Print_Titles" localSheetId="4">Transactions!$B:$E,Transactions!$1:$19</definedName>
    <definedName name="ss1et">#REF!</definedName>
    <definedName name="ss1gb">#REF!</definedName>
    <definedName name="ss1lh">#REF!</definedName>
    <definedName name="ss1nt">#REF!</definedName>
    <definedName name="ss1op">#REF!</definedName>
    <definedName name="ss1tx">#REF!</definedName>
    <definedName name="ss1wf">#REF!</definedName>
    <definedName name="ss2et">#REF!</definedName>
    <definedName name="ss2etc">#REF!</definedName>
    <definedName name="ss2gb">#REF!</definedName>
    <definedName name="ss2gbt">#REF!</definedName>
    <definedName name="ss2lh">#REF!</definedName>
    <definedName name="ss2lhs">#REF!</definedName>
    <definedName name="ss2nt">#REF!</definedName>
    <definedName name="ss2ntc">#REF!</definedName>
    <definedName name="ss2op">#REF!</definedName>
    <definedName name="ss2opm">#REF!</definedName>
    <definedName name="ss2tx">#REF!</definedName>
    <definedName name="ss2txl">#REF!</definedName>
    <definedName name="ss2wf">#REF!</definedName>
    <definedName name="ss3et">#REF!</definedName>
    <definedName name="ss3gb">#REF!</definedName>
    <definedName name="ss3lh">#REF!</definedName>
    <definedName name="ss3nt">#REF!</definedName>
    <definedName name="ss3op">#REF!</definedName>
    <definedName name="ss3tx">#REF!</definedName>
    <definedName name="ss3wf">#REF!</definedName>
    <definedName name="ss5et">#REF!</definedName>
    <definedName name="ss5gb">#REF!</definedName>
    <definedName name="ss5lh">#REF!</definedName>
    <definedName name="ss5nt">#REF!</definedName>
    <definedName name="ss5op">#REF!</definedName>
    <definedName name="ss5tx">#REF!</definedName>
    <definedName name="ss5wf">#REF!</definedName>
    <definedName name="ss6et">#REF!</definedName>
    <definedName name="ss6gb">#REF!</definedName>
    <definedName name="ss6lh">#REF!</definedName>
    <definedName name="ss6nt">#REF!</definedName>
    <definedName name="ss6op">#REF!</definedName>
    <definedName name="ss6tx">#REF!</definedName>
    <definedName name="ss6wf">#REF!</definedName>
    <definedName name="tbl_QtrPrimRat">#REF!</definedName>
    <definedName name="texla">#REF!</definedName>
  </definedNames>
  <calcPr calcId="191029" iterate="1"/>
  <pivotCaches>
    <pivotCache cacheId="9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0" i="34" l="1"/>
  <c r="C5" i="34"/>
  <c r="H22" i="29" s="1"/>
  <c r="B13" i="34"/>
  <c r="B4" i="34"/>
  <c r="G24" i="29"/>
  <c r="G26" i="29"/>
  <c r="G35" i="29"/>
  <c r="G36" i="29"/>
  <c r="G37" i="29"/>
  <c r="G31" i="29"/>
  <c r="G25" i="29"/>
  <c r="G28" i="29"/>
  <c r="G23" i="29"/>
  <c r="G21" i="29"/>
  <c r="G29" i="29"/>
  <c r="G30" i="29"/>
  <c r="G32" i="29"/>
  <c r="G22" i="29"/>
  <c r="G33" i="29"/>
  <c r="G27" i="29"/>
  <c r="D7" i="34" l="1"/>
  <c r="D10" i="34"/>
  <c r="D5" i="34"/>
  <c r="E5" i="34" s="1"/>
  <c r="D15" i="34"/>
  <c r="D18" i="34"/>
  <c r="D12" i="34"/>
  <c r="C10" i="34"/>
  <c r="H27" i="29" s="1"/>
  <c r="C20" i="34"/>
  <c r="H37" i="29" s="1"/>
  <c r="C15" i="34"/>
  <c r="H32" i="29" s="1"/>
  <c r="C18" i="34"/>
  <c r="H35" i="29" s="1"/>
  <c r="C13" i="34"/>
  <c r="H30" i="29" s="1"/>
  <c r="E2" i="34"/>
  <c r="C6" i="34"/>
  <c r="H23" i="29" s="1"/>
  <c r="D11" i="34"/>
  <c r="D16" i="34"/>
  <c r="C19" i="34"/>
  <c r="H36" i="29" s="1"/>
  <c r="D8" i="34"/>
  <c r="D6" i="34"/>
  <c r="C9" i="34"/>
  <c r="H26" i="29" s="1"/>
  <c r="C14" i="34"/>
  <c r="H31" i="29" s="1"/>
  <c r="D19" i="34"/>
  <c r="C8" i="34"/>
  <c r="H25" i="29" s="1"/>
  <c r="C16" i="34"/>
  <c r="H33" i="29" s="1"/>
  <c r="C4" i="34"/>
  <c r="H21" i="29" s="1"/>
  <c r="D9" i="34"/>
  <c r="C12" i="34"/>
  <c r="H29" i="29" s="1"/>
  <c r="D14" i="34"/>
  <c r="C11" i="34"/>
  <c r="H28" i="29" s="1"/>
  <c r="D13" i="34"/>
  <c r="D4" i="34"/>
  <c r="C7" i="34"/>
  <c r="H24" i="29" s="1"/>
  <c r="C5" i="29"/>
  <c r="D21" i="34" l="1"/>
  <c r="E15" i="34"/>
  <c r="E12" i="34"/>
  <c r="E20" i="34"/>
  <c r="E10" i="34"/>
  <c r="E11" i="34"/>
  <c r="E14" i="34"/>
  <c r="E19" i="34"/>
  <c r="E7" i="34"/>
  <c r="E16" i="34"/>
  <c r="E6" i="34"/>
  <c r="D17" i="34"/>
  <c r="E13" i="34"/>
  <c r="C17" i="34"/>
  <c r="E4" i="34"/>
  <c r="E8" i="34"/>
  <c r="E9" i="34"/>
  <c r="C21" i="34"/>
  <c r="E18" i="34"/>
  <c r="L3" i="18"/>
  <c r="D22" i="34" l="1"/>
  <c r="E17" i="34"/>
  <c r="E21" i="34"/>
  <c r="C22" i="34"/>
  <c r="K1" i="18"/>
  <c r="B79" i="18"/>
  <c r="B78" i="18"/>
  <c r="B77" i="18"/>
  <c r="B76" i="18"/>
  <c r="B75" i="18"/>
  <c r="B74" i="18"/>
  <c r="B73" i="18"/>
  <c r="B72" i="18"/>
  <c r="B71" i="18"/>
  <c r="B70" i="18"/>
  <c r="B69" i="18"/>
  <c r="B68" i="18"/>
  <c r="E10" i="29"/>
  <c r="C1" i="29"/>
  <c r="B3" i="18"/>
  <c r="B55" i="18"/>
  <c r="B54" i="18"/>
  <c r="B53" i="18"/>
  <c r="B52" i="18"/>
  <c r="B51" i="18"/>
  <c r="B50" i="18"/>
  <c r="B49" i="18"/>
  <c r="B48" i="18"/>
  <c r="B47" i="18"/>
  <c r="B46" i="18"/>
  <c r="B45" i="18"/>
  <c r="B44" i="18"/>
  <c r="C42" i="18"/>
  <c r="C54" i="18" s="1"/>
  <c r="D38" i="18"/>
  <c r="D62" i="18" s="1"/>
  <c r="J19" i="18"/>
  <c r="D43" i="18"/>
  <c r="D67" i="18" s="1"/>
  <c r="D91" i="18" s="1"/>
  <c r="D103" i="18" s="1"/>
  <c r="D115" i="18" s="1"/>
  <c r="D127" i="18" s="1"/>
  <c r="D139" i="18" s="1"/>
  <c r="D151" i="18" s="1"/>
  <c r="D163" i="18" s="1"/>
  <c r="D175" i="18" s="1"/>
  <c r="B31" i="18"/>
  <c r="D42" i="18"/>
  <c r="D54" i="18" s="1"/>
  <c r="B30" i="18"/>
  <c r="D41" i="18"/>
  <c r="D65" i="18" s="1"/>
  <c r="B29" i="18"/>
  <c r="B28" i="18"/>
  <c r="C39" i="18"/>
  <c r="C51" i="18" s="1"/>
  <c r="D39" i="18"/>
  <c r="D51" i="18" s="1"/>
  <c r="B27" i="18"/>
  <c r="B26" i="18"/>
  <c r="B25" i="18"/>
  <c r="B24" i="18"/>
  <c r="B23" i="18"/>
  <c r="B22" i="18"/>
  <c r="B21" i="18"/>
  <c r="D32" i="18"/>
  <c r="D44" i="18" s="1"/>
  <c r="B16" i="18"/>
  <c r="J1" i="18"/>
  <c r="C43" i="18"/>
  <c r="C55" i="18" s="1"/>
  <c r="B175" i="18"/>
  <c r="B174" i="18"/>
  <c r="B173" i="18"/>
  <c r="B172" i="18"/>
  <c r="B171" i="18"/>
  <c r="C38" i="18"/>
  <c r="C50" i="18" s="1"/>
  <c r="B170" i="18"/>
  <c r="C37" i="18"/>
  <c r="C49" i="18" s="1"/>
  <c r="B169" i="18"/>
  <c r="B168" i="18"/>
  <c r="B167" i="18"/>
  <c r="B166" i="18"/>
  <c r="C33" i="18"/>
  <c r="C45" i="18" s="1"/>
  <c r="B165" i="18"/>
  <c r="C32" i="18"/>
  <c r="C56" i="18" s="1"/>
  <c r="B164" i="18"/>
  <c r="B211" i="18"/>
  <c r="B210" i="18"/>
  <c r="B209" i="18"/>
  <c r="B208" i="18"/>
  <c r="B207" i="18"/>
  <c r="B206" i="18"/>
  <c r="B205" i="18"/>
  <c r="B204" i="18"/>
  <c r="B203" i="18"/>
  <c r="B202" i="18"/>
  <c r="B201" i="18"/>
  <c r="B200" i="18"/>
  <c r="B199" i="18"/>
  <c r="B198" i="18"/>
  <c r="B197" i="18"/>
  <c r="B196" i="18"/>
  <c r="B195" i="18"/>
  <c r="B194" i="18"/>
  <c r="B193" i="18"/>
  <c r="B192" i="18"/>
  <c r="B191" i="18"/>
  <c r="B190" i="18"/>
  <c r="B189" i="18"/>
  <c r="B188" i="18"/>
  <c r="B187" i="18"/>
  <c r="B186" i="18"/>
  <c r="B185" i="18"/>
  <c r="B184" i="18"/>
  <c r="B183" i="18"/>
  <c r="B182" i="18"/>
  <c r="B181" i="18"/>
  <c r="B180" i="18"/>
  <c r="B179" i="18"/>
  <c r="B178" i="18"/>
  <c r="B177" i="18"/>
  <c r="B176" i="18"/>
  <c r="B163" i="18"/>
  <c r="B162" i="18"/>
  <c r="B161" i="18"/>
  <c r="B160" i="18"/>
  <c r="B159" i="18"/>
  <c r="B158" i="18"/>
  <c r="B157" i="18"/>
  <c r="B156" i="18"/>
  <c r="B155" i="18"/>
  <c r="B154" i="18"/>
  <c r="B153" i="18"/>
  <c r="B152" i="18"/>
  <c r="B151" i="18"/>
  <c r="B150" i="18"/>
  <c r="B149" i="18"/>
  <c r="B148" i="18"/>
  <c r="B147" i="18"/>
  <c r="B146" i="18"/>
  <c r="B145" i="18"/>
  <c r="B144" i="18"/>
  <c r="B143" i="18"/>
  <c r="B142" i="18"/>
  <c r="B141" i="18"/>
  <c r="B140" i="18"/>
  <c r="B139" i="18"/>
  <c r="B138" i="18"/>
  <c r="B137" i="18"/>
  <c r="B136" i="18"/>
  <c r="B135" i="18"/>
  <c r="B134" i="18"/>
  <c r="B133" i="18"/>
  <c r="B132" i="18"/>
  <c r="B131" i="18"/>
  <c r="B130" i="18"/>
  <c r="B129" i="18"/>
  <c r="B128" i="18"/>
  <c r="B127" i="18"/>
  <c r="B126" i="18"/>
  <c r="B125" i="18"/>
  <c r="B124" i="18"/>
  <c r="B123" i="18"/>
  <c r="B122" i="18"/>
  <c r="B121" i="18"/>
  <c r="B120" i="18"/>
  <c r="B119" i="18"/>
  <c r="B118" i="18"/>
  <c r="B117" i="18"/>
  <c r="B116" i="18"/>
  <c r="B115" i="18"/>
  <c r="B114" i="18"/>
  <c r="B113" i="18"/>
  <c r="B112" i="18"/>
  <c r="B111" i="18"/>
  <c r="B110" i="18"/>
  <c r="B109" i="18"/>
  <c r="B108" i="18"/>
  <c r="B107" i="18"/>
  <c r="B106" i="18"/>
  <c r="B105" i="18"/>
  <c r="B104" i="18"/>
  <c r="B103" i="18"/>
  <c r="B102" i="18"/>
  <c r="B101" i="18"/>
  <c r="B100" i="18"/>
  <c r="B99" i="18"/>
  <c r="B98" i="18"/>
  <c r="B97" i="18"/>
  <c r="B96" i="18"/>
  <c r="B95" i="18"/>
  <c r="B94" i="18"/>
  <c r="B93" i="18"/>
  <c r="B92" i="18"/>
  <c r="B91" i="18"/>
  <c r="B90" i="18"/>
  <c r="B89" i="18"/>
  <c r="B88" i="18"/>
  <c r="B87" i="18"/>
  <c r="B86" i="18"/>
  <c r="B85" i="18"/>
  <c r="B84" i="18"/>
  <c r="B83" i="18"/>
  <c r="B82" i="18"/>
  <c r="B81" i="18"/>
  <c r="B80" i="18"/>
  <c r="B67" i="18"/>
  <c r="B66" i="18"/>
  <c r="B65" i="18"/>
  <c r="B64" i="18"/>
  <c r="B63" i="18"/>
  <c r="B62" i="18"/>
  <c r="B61" i="18"/>
  <c r="B60" i="18"/>
  <c r="B59" i="18"/>
  <c r="B58" i="18"/>
  <c r="B57" i="18"/>
  <c r="B56" i="18"/>
  <c r="B43" i="18"/>
  <c r="B42" i="18"/>
  <c r="B41" i="18"/>
  <c r="B40" i="18"/>
  <c r="B39" i="18"/>
  <c r="B38" i="18"/>
  <c r="B37" i="18"/>
  <c r="B36" i="18"/>
  <c r="B35" i="18"/>
  <c r="B34" i="18"/>
  <c r="B33" i="18"/>
  <c r="B32" i="18"/>
  <c r="B20" i="18"/>
  <c r="C35" i="18"/>
  <c r="C34" i="18"/>
  <c r="C46" i="18" s="1"/>
  <c r="C41" i="18"/>
  <c r="C65" i="18" s="1"/>
  <c r="D36" i="18"/>
  <c r="D48" i="18" s="1"/>
  <c r="C36" i="18"/>
  <c r="C60" i="18" s="1"/>
  <c r="C84" i="18" s="1"/>
  <c r="C96" i="18" s="1"/>
  <c r="C108" i="18" s="1"/>
  <c r="C120" i="18" s="1"/>
  <c r="C132" i="18" s="1"/>
  <c r="C144" i="18" s="1"/>
  <c r="C156" i="18" s="1"/>
  <c r="C40" i="18"/>
  <c r="C52" i="18" s="1"/>
  <c r="D35" i="18"/>
  <c r="D59" i="18" s="1"/>
  <c r="D83" i="18" s="1"/>
  <c r="D95" i="18" s="1"/>
  <c r="D107" i="18" s="1"/>
  <c r="D119" i="18" s="1"/>
  <c r="D131" i="18" s="1"/>
  <c r="D143" i="18" s="1"/>
  <c r="D155" i="18" s="1"/>
  <c r="D37" i="18"/>
  <c r="D61" i="18" s="1"/>
  <c r="D40" i="18"/>
  <c r="D33" i="18"/>
  <c r="D45" i="18" s="1"/>
  <c r="D34" i="18"/>
  <c r="D58" i="18" s="1"/>
  <c r="F10" i="29"/>
  <c r="E33" i="29"/>
  <c r="D23" i="29"/>
  <c r="D22" i="29"/>
  <c r="E32" i="29"/>
  <c r="E24" i="29"/>
  <c r="D25" i="29"/>
  <c r="D31" i="29"/>
  <c r="E26" i="29"/>
  <c r="D21" i="29"/>
  <c r="D29" i="29"/>
  <c r="D35" i="29"/>
  <c r="E28" i="29"/>
  <c r="E35" i="29"/>
  <c r="D36" i="29"/>
  <c r="E27" i="29"/>
  <c r="D32" i="29"/>
  <c r="D30" i="29"/>
  <c r="E29" i="29"/>
  <c r="E23" i="29"/>
  <c r="E37" i="29"/>
  <c r="D24" i="29"/>
  <c r="D26" i="29"/>
  <c r="E21" i="29"/>
  <c r="D28" i="29"/>
  <c r="E25" i="29"/>
  <c r="E30" i="29"/>
  <c r="E31" i="29"/>
  <c r="E36" i="29"/>
  <c r="D33" i="29"/>
  <c r="D27" i="29"/>
  <c r="E22" i="29"/>
  <c r="D37" i="29"/>
  <c r="E22" i="34" l="1"/>
  <c r="C63" i="18"/>
  <c r="C87" i="18" s="1"/>
  <c r="C99" i="18" s="1"/>
  <c r="C111" i="18" s="1"/>
  <c r="C123" i="18" s="1"/>
  <c r="C135" i="18" s="1"/>
  <c r="C147" i="18" s="1"/>
  <c r="C159" i="18" s="1"/>
  <c r="C171" i="18" s="1"/>
  <c r="C72" i="18"/>
  <c r="C66" i="18"/>
  <c r="C78" i="18" s="1"/>
  <c r="C44" i="18"/>
  <c r="C64" i="18"/>
  <c r="C76" i="18" s="1"/>
  <c r="D63" i="18"/>
  <c r="D87" i="18" s="1"/>
  <c r="D99" i="18" s="1"/>
  <c r="D111" i="18" s="1"/>
  <c r="D123" i="18" s="1"/>
  <c r="D135" i="18" s="1"/>
  <c r="D147" i="18" s="1"/>
  <c r="D159" i="18" s="1"/>
  <c r="D183" i="18" s="1"/>
  <c r="D195" i="18" s="1"/>
  <c r="D207" i="18" s="1"/>
  <c r="D66" i="18"/>
  <c r="D78" i="18" s="1"/>
  <c r="D57" i="18"/>
  <c r="D69" i="18" s="1"/>
  <c r="E20" i="29"/>
  <c r="D20" i="29"/>
  <c r="C3" i="29"/>
  <c r="D79" i="18"/>
  <c r="D55" i="18"/>
  <c r="D53" i="18"/>
  <c r="C53" i="18"/>
  <c r="D50" i="18"/>
  <c r="C61" i="18"/>
  <c r="D46" i="18"/>
  <c r="C57" i="18"/>
  <c r="C81" i="18" s="1"/>
  <c r="C93" i="18" s="1"/>
  <c r="C105" i="18" s="1"/>
  <c r="C117" i="18" s="1"/>
  <c r="C129" i="18" s="1"/>
  <c r="C141" i="18" s="1"/>
  <c r="C153" i="18" s="1"/>
  <c r="C165" i="18" s="1"/>
  <c r="C80" i="18"/>
  <c r="C92" i="18" s="1"/>
  <c r="C104" i="18" s="1"/>
  <c r="C116" i="18" s="1"/>
  <c r="C128" i="18" s="1"/>
  <c r="C140" i="18" s="1"/>
  <c r="C152" i="18" s="1"/>
  <c r="C164" i="18" s="1"/>
  <c r="C68" i="18"/>
  <c r="O13" i="18"/>
  <c r="G212" i="18"/>
  <c r="C67" i="18"/>
  <c r="C79" i="18" s="1"/>
  <c r="D77" i="18"/>
  <c r="D89" i="18"/>
  <c r="D101" i="18" s="1"/>
  <c r="D113" i="18" s="1"/>
  <c r="D125" i="18" s="1"/>
  <c r="D137" i="18" s="1"/>
  <c r="D149" i="18" s="1"/>
  <c r="D161" i="18" s="1"/>
  <c r="D185" i="18" s="1"/>
  <c r="D197" i="18" s="1"/>
  <c r="D209" i="18" s="1"/>
  <c r="D74" i="18"/>
  <c r="D86" i="18"/>
  <c r="D98" i="18" s="1"/>
  <c r="D110" i="18" s="1"/>
  <c r="D122" i="18" s="1"/>
  <c r="D134" i="18" s="1"/>
  <c r="D146" i="18" s="1"/>
  <c r="D158" i="18" s="1"/>
  <c r="D170" i="18" s="1"/>
  <c r="C62" i="18"/>
  <c r="D49" i="18"/>
  <c r="D60" i="18"/>
  <c r="D72" i="18" s="1"/>
  <c r="C48" i="18"/>
  <c r="D71" i="18"/>
  <c r="C58" i="18"/>
  <c r="D56" i="18"/>
  <c r="D68" i="18" s="1"/>
  <c r="F29" i="29"/>
  <c r="I29" i="29" s="1"/>
  <c r="F32" i="29"/>
  <c r="I32" i="29" s="1"/>
  <c r="F24" i="29"/>
  <c r="I24" i="29" s="1"/>
  <c r="F30" i="29"/>
  <c r="I30" i="29" s="1"/>
  <c r="H34" i="29"/>
  <c r="F37" i="29"/>
  <c r="I37" i="29" s="1"/>
  <c r="G34" i="29"/>
  <c r="F27" i="29"/>
  <c r="I27" i="29" s="1"/>
  <c r="F33" i="29"/>
  <c r="I33" i="29" s="1"/>
  <c r="E34" i="29"/>
  <c r="F22" i="29"/>
  <c r="I22" i="29" s="1"/>
  <c r="H38" i="29"/>
  <c r="F21" i="29"/>
  <c r="I21" i="29" s="1"/>
  <c r="D34" i="29"/>
  <c r="F35" i="29"/>
  <c r="I35" i="29" s="1"/>
  <c r="D38" i="29"/>
  <c r="F25" i="29"/>
  <c r="I25" i="29" s="1"/>
  <c r="F28" i="29"/>
  <c r="I28" i="29" s="1"/>
  <c r="E38" i="29"/>
  <c r="F31" i="29"/>
  <c r="I31" i="29" s="1"/>
  <c r="G38" i="29"/>
  <c r="F36" i="29"/>
  <c r="I36" i="29" s="1"/>
  <c r="F26" i="29"/>
  <c r="I26" i="29" s="1"/>
  <c r="F23" i="29"/>
  <c r="I23" i="29" s="1"/>
  <c r="C180" i="18"/>
  <c r="C192" i="18" s="1"/>
  <c r="C204" i="18" s="1"/>
  <c r="C168" i="18"/>
  <c r="O14" i="18"/>
  <c r="D167" i="18"/>
  <c r="D179" i="18"/>
  <c r="D191" i="18" s="1"/>
  <c r="D203" i="18" s="1"/>
  <c r="D70" i="18"/>
  <c r="D82" i="18"/>
  <c r="D94" i="18" s="1"/>
  <c r="D106" i="18" s="1"/>
  <c r="D118" i="18" s="1"/>
  <c r="D130" i="18" s="1"/>
  <c r="D142" i="18" s="1"/>
  <c r="D154" i="18" s="1"/>
  <c r="C47" i="18"/>
  <c r="C59" i="18"/>
  <c r="D187" i="18"/>
  <c r="D199" i="18" s="1"/>
  <c r="D211" i="18" s="1"/>
  <c r="D85" i="18"/>
  <c r="D97" i="18" s="1"/>
  <c r="D109" i="18" s="1"/>
  <c r="D121" i="18" s="1"/>
  <c r="D133" i="18" s="1"/>
  <c r="D145" i="18" s="1"/>
  <c r="D157" i="18" s="1"/>
  <c r="D73" i="18"/>
  <c r="D47" i="18"/>
  <c r="C89" i="18"/>
  <c r="C101" i="18" s="1"/>
  <c r="C113" i="18" s="1"/>
  <c r="C125" i="18" s="1"/>
  <c r="C137" i="18" s="1"/>
  <c r="C149" i="18" s="1"/>
  <c r="C161" i="18" s="1"/>
  <c r="C77" i="18"/>
  <c r="D64" i="18"/>
  <c r="D52" i="18"/>
  <c r="C183" i="18" l="1"/>
  <c r="C195" i="18" s="1"/>
  <c r="C207" i="18" s="1"/>
  <c r="C75" i="18"/>
  <c r="C88" i="18"/>
  <c r="C100" i="18" s="1"/>
  <c r="C112" i="18" s="1"/>
  <c r="C124" i="18" s="1"/>
  <c r="C136" i="18" s="1"/>
  <c r="C148" i="18" s="1"/>
  <c r="C160" i="18" s="1"/>
  <c r="C184" i="18" s="1"/>
  <c r="C196" i="18" s="1"/>
  <c r="C208" i="18" s="1"/>
  <c r="C90" i="18"/>
  <c r="C102" i="18" s="1"/>
  <c r="C114" i="18" s="1"/>
  <c r="C126" i="18" s="1"/>
  <c r="C138" i="18" s="1"/>
  <c r="C150" i="18" s="1"/>
  <c r="C162" i="18" s="1"/>
  <c r="C186" i="18" s="1"/>
  <c r="C198" i="18" s="1"/>
  <c r="C210" i="18" s="1"/>
  <c r="D90" i="18"/>
  <c r="D102" i="18" s="1"/>
  <c r="D114" i="18" s="1"/>
  <c r="D126" i="18" s="1"/>
  <c r="D138" i="18" s="1"/>
  <c r="D150" i="18" s="1"/>
  <c r="D162" i="18" s="1"/>
  <c r="D174" i="18" s="1"/>
  <c r="D171" i="18"/>
  <c r="D81" i="18"/>
  <c r="D93" i="18" s="1"/>
  <c r="D105" i="18" s="1"/>
  <c r="D117" i="18" s="1"/>
  <c r="D129" i="18" s="1"/>
  <c r="D141" i="18" s="1"/>
  <c r="D153" i="18" s="1"/>
  <c r="D165" i="18" s="1"/>
  <c r="D75" i="18"/>
  <c r="D173" i="18"/>
  <c r="C177" i="18"/>
  <c r="C189" i="18" s="1"/>
  <c r="C201" i="18" s="1"/>
  <c r="D80" i="18"/>
  <c r="D92" i="18" s="1"/>
  <c r="D104" i="18" s="1"/>
  <c r="D116" i="18" s="1"/>
  <c r="D128" i="18" s="1"/>
  <c r="D140" i="18" s="1"/>
  <c r="D152" i="18" s="1"/>
  <c r="D164" i="18" s="1"/>
  <c r="C69" i="18"/>
  <c r="C91" i="18"/>
  <c r="C103" i="18" s="1"/>
  <c r="C115" i="18" s="1"/>
  <c r="C127" i="18" s="1"/>
  <c r="C139" i="18" s="1"/>
  <c r="C151" i="18" s="1"/>
  <c r="C163" i="18" s="1"/>
  <c r="C187" i="18" s="1"/>
  <c r="C199" i="18" s="1"/>
  <c r="C211" i="18" s="1"/>
  <c r="C176" i="18"/>
  <c r="C188" i="18" s="1"/>
  <c r="C200" i="18" s="1"/>
  <c r="D182" i="18"/>
  <c r="D194" i="18" s="1"/>
  <c r="D206" i="18" s="1"/>
  <c r="C73" i="18"/>
  <c r="C85" i="18"/>
  <c r="C97" i="18" s="1"/>
  <c r="C109" i="18" s="1"/>
  <c r="C121" i="18" s="1"/>
  <c r="C133" i="18" s="1"/>
  <c r="C145" i="18" s="1"/>
  <c r="C157" i="18" s="1"/>
  <c r="D84" i="18"/>
  <c r="D96" i="18" s="1"/>
  <c r="D108" i="18" s="1"/>
  <c r="D120" i="18" s="1"/>
  <c r="D132" i="18" s="1"/>
  <c r="D144" i="18" s="1"/>
  <c r="D156" i="18" s="1"/>
  <c r="D180" i="18" s="1"/>
  <c r="D192" i="18" s="1"/>
  <c r="D204" i="18" s="1"/>
  <c r="G39" i="29"/>
  <c r="C86" i="18"/>
  <c r="C98" i="18" s="1"/>
  <c r="C110" i="18" s="1"/>
  <c r="C122" i="18" s="1"/>
  <c r="C134" i="18" s="1"/>
  <c r="C146" i="18" s="1"/>
  <c r="C158" i="18" s="1"/>
  <c r="C74" i="18"/>
  <c r="C82" i="18"/>
  <c r="C94" i="18" s="1"/>
  <c r="C106" i="18" s="1"/>
  <c r="C118" i="18" s="1"/>
  <c r="C130" i="18" s="1"/>
  <c r="C142" i="18" s="1"/>
  <c r="C154" i="18" s="1"/>
  <c r="C70" i="18"/>
  <c r="F38" i="29"/>
  <c r="P13" i="18"/>
  <c r="C173" i="18"/>
  <c r="C185" i="18"/>
  <c r="C197" i="18" s="1"/>
  <c r="C209" i="18" s="1"/>
  <c r="P14" i="18"/>
  <c r="P212" i="18"/>
  <c r="D166" i="18"/>
  <c r="D178" i="18"/>
  <c r="D190" i="18" s="1"/>
  <c r="D202" i="18" s="1"/>
  <c r="D39" i="29"/>
  <c r="E39" i="29"/>
  <c r="D88" i="18"/>
  <c r="D100" i="18" s="1"/>
  <c r="D112" i="18" s="1"/>
  <c r="D124" i="18" s="1"/>
  <c r="D136" i="18" s="1"/>
  <c r="D148" i="18" s="1"/>
  <c r="D160" i="18" s="1"/>
  <c r="D76" i="18"/>
  <c r="D181" i="18"/>
  <c r="D193" i="18" s="1"/>
  <c r="D205" i="18" s="1"/>
  <c r="D169" i="18"/>
  <c r="C83" i="18"/>
  <c r="C95" i="18" s="1"/>
  <c r="C107" i="18" s="1"/>
  <c r="C119" i="18" s="1"/>
  <c r="C131" i="18" s="1"/>
  <c r="C143" i="18" s="1"/>
  <c r="C155" i="18" s="1"/>
  <c r="C71" i="18"/>
  <c r="F34" i="29"/>
  <c r="H39" i="29"/>
  <c r="C174" i="18" l="1"/>
  <c r="C172" i="18"/>
  <c r="D177" i="18"/>
  <c r="D189" i="18" s="1"/>
  <c r="D201" i="18" s="1"/>
  <c r="D186" i="18"/>
  <c r="D198" i="18" s="1"/>
  <c r="D210" i="18" s="1"/>
  <c r="D176" i="18"/>
  <c r="D188" i="18" s="1"/>
  <c r="D200" i="18" s="1"/>
  <c r="C175" i="18"/>
  <c r="D168" i="18"/>
  <c r="C181" i="18"/>
  <c r="C193" i="18" s="1"/>
  <c r="C205" i="18" s="1"/>
  <c r="C169" i="18"/>
  <c r="F39" i="29"/>
  <c r="Q13" i="18"/>
  <c r="Q14" i="18"/>
  <c r="C170" i="18"/>
  <c r="C182" i="18"/>
  <c r="C194" i="18" s="1"/>
  <c r="C206" i="18" s="1"/>
  <c r="C178" i="18"/>
  <c r="C190" i="18" s="1"/>
  <c r="C202" i="18" s="1"/>
  <c r="C166" i="18"/>
  <c r="I34" i="29"/>
  <c r="I38" i="29"/>
  <c r="C167" i="18"/>
  <c r="C179" i="18"/>
  <c r="C191" i="18" s="1"/>
  <c r="C203" i="18" s="1"/>
  <c r="D184" i="18"/>
  <c r="D196" i="18" s="1"/>
  <c r="D208" i="18" s="1"/>
  <c r="D172" i="18"/>
  <c r="I39" i="29" l="1"/>
  <c r="E11" i="29" l="1"/>
  <c r="H211" i="18" l="1"/>
  <c r="K211" i="18" s="1"/>
  <c r="H165" i="18"/>
  <c r="K165" i="18" s="1"/>
  <c r="H146" i="18"/>
  <c r="K146" i="18" s="1"/>
  <c r="H183" i="18"/>
  <c r="K183" i="18" s="1"/>
  <c r="H168" i="18"/>
  <c r="K168" i="18" s="1"/>
  <c r="H140" i="18"/>
  <c r="K140" i="18" s="1"/>
  <c r="H27" i="18"/>
  <c r="K27" i="18" s="1"/>
  <c r="H209" i="18"/>
  <c r="K209" i="18" s="1"/>
  <c r="H101" i="18"/>
  <c r="K101" i="18" s="1"/>
  <c r="H122" i="18"/>
  <c r="K122" i="18" s="1"/>
  <c r="H159" i="18"/>
  <c r="K159" i="18" s="1"/>
  <c r="H174" i="18"/>
  <c r="K174" i="18" s="1"/>
  <c r="H117" i="18"/>
  <c r="K117" i="18" s="1"/>
  <c r="H126" i="18"/>
  <c r="K126" i="18" s="1"/>
  <c r="H163" i="18"/>
  <c r="K163" i="18" s="1"/>
  <c r="H206" i="18"/>
  <c r="K206" i="18" s="1"/>
  <c r="H24" i="18"/>
  <c r="K24" i="18" s="1"/>
  <c r="H162" i="18"/>
  <c r="K162" i="18" s="1"/>
  <c r="H105" i="18"/>
  <c r="K105" i="18" s="1"/>
  <c r="H75" i="18"/>
  <c r="K75" i="18" s="1"/>
  <c r="H49" i="18"/>
  <c r="K49" i="18" s="1"/>
  <c r="H42" i="18"/>
  <c r="K42" i="18" s="1"/>
  <c r="H79" i="18"/>
  <c r="K79" i="18" s="1"/>
  <c r="H57" i="18"/>
  <c r="K57" i="18" s="1"/>
  <c r="E13" i="29"/>
  <c r="H141" i="18"/>
  <c r="K141" i="18" s="1"/>
  <c r="H193" i="18"/>
  <c r="K193" i="18" s="1"/>
  <c r="H39" i="18"/>
  <c r="K39" i="18" s="1"/>
  <c r="H138" i="18"/>
  <c r="K138" i="18" s="1"/>
  <c r="H88" i="18"/>
  <c r="K88" i="18" s="1"/>
  <c r="H30" i="18"/>
  <c r="K30" i="18" s="1"/>
  <c r="H103" i="18"/>
  <c r="K103" i="18" s="1"/>
  <c r="H77" i="18"/>
  <c r="K77" i="18" s="1"/>
  <c r="H120" i="18"/>
  <c r="K120" i="18" s="1"/>
  <c r="H58" i="18"/>
  <c r="K58" i="18" s="1"/>
  <c r="H139" i="18"/>
  <c r="K139" i="18" s="1"/>
  <c r="H70" i="18"/>
  <c r="K70" i="18" s="1"/>
  <c r="H151" i="18"/>
  <c r="K151" i="18" s="1"/>
  <c r="H90" i="18"/>
  <c r="K90" i="18" s="1"/>
  <c r="H131" i="18"/>
  <c r="K131" i="18" s="1"/>
  <c r="H48" i="18"/>
  <c r="K48" i="18" s="1"/>
  <c r="H21" i="18"/>
  <c r="K21" i="18" s="1"/>
  <c r="H104" i="18"/>
  <c r="K104" i="18" s="1"/>
  <c r="H178" i="18"/>
  <c r="K178" i="18" s="1"/>
  <c r="H136" i="18"/>
  <c r="K136" i="18" s="1"/>
  <c r="H96" i="18"/>
  <c r="K96" i="18" s="1"/>
  <c r="H22" i="18"/>
  <c r="K22" i="18" s="1"/>
  <c r="H59" i="18"/>
  <c r="K59" i="18" s="1"/>
  <c r="H147" i="18"/>
  <c r="K147" i="18" s="1"/>
  <c r="H181" i="18"/>
  <c r="K181" i="18" s="1"/>
  <c r="H154" i="18"/>
  <c r="K154" i="18" s="1"/>
  <c r="H191" i="18"/>
  <c r="K191" i="18" s="1"/>
  <c r="H179" i="18"/>
  <c r="K179" i="18" s="1"/>
  <c r="H196" i="18"/>
  <c r="K196" i="18" s="1"/>
  <c r="H158" i="18"/>
  <c r="K158" i="18" s="1"/>
  <c r="H195" i="18"/>
  <c r="K195" i="18" s="1"/>
  <c r="H37" i="18"/>
  <c r="K37" i="18" s="1"/>
  <c r="H36" i="18"/>
  <c r="K36" i="18" s="1"/>
  <c r="H194" i="18"/>
  <c r="K194" i="18" s="1"/>
  <c r="H169" i="18"/>
  <c r="K169" i="18" s="1"/>
  <c r="H171" i="18"/>
  <c r="K171" i="18" s="1"/>
  <c r="H113" i="18"/>
  <c r="K113" i="18" s="1"/>
  <c r="H74" i="18"/>
  <c r="K74" i="18" s="1"/>
  <c r="H111" i="18"/>
  <c r="K111" i="18" s="1"/>
  <c r="H121" i="18"/>
  <c r="K121" i="18" s="1"/>
  <c r="H190" i="18"/>
  <c r="K190" i="18" s="1"/>
  <c r="H100" i="18"/>
  <c r="K100" i="18" s="1"/>
  <c r="H133" i="18"/>
  <c r="K133" i="18" s="1"/>
  <c r="H192" i="18"/>
  <c r="K192" i="18" s="1"/>
  <c r="H106" i="18"/>
  <c r="K106" i="18" s="1"/>
  <c r="H143" i="18"/>
  <c r="K143" i="18" s="1"/>
  <c r="H203" i="18"/>
  <c r="K203" i="18" s="1"/>
  <c r="H108" i="18"/>
  <c r="K108" i="18" s="1"/>
  <c r="H200" i="18"/>
  <c r="K200" i="18" s="1"/>
  <c r="H40" i="18"/>
  <c r="K40" i="18" s="1"/>
  <c r="H175" i="18"/>
  <c r="K175" i="18" s="1"/>
  <c r="H97" i="18"/>
  <c r="K97" i="18" s="1"/>
  <c r="H52" i="18"/>
  <c r="K52" i="18" s="1"/>
  <c r="H29" i="18"/>
  <c r="K29" i="18" s="1"/>
  <c r="H69" i="18"/>
  <c r="K69" i="18" s="1"/>
  <c r="H107" i="18"/>
  <c r="K107" i="18" s="1"/>
  <c r="H98" i="18"/>
  <c r="K98" i="18" s="1"/>
  <c r="H116" i="18"/>
  <c r="K116" i="18" s="1"/>
  <c r="H204" i="18"/>
  <c r="K204" i="18" s="1"/>
  <c r="H145" i="18"/>
  <c r="K145" i="18" s="1"/>
  <c r="H124" i="18"/>
  <c r="K124" i="18" s="1"/>
  <c r="H180" i="18"/>
  <c r="K180" i="18" s="1"/>
  <c r="H93" i="18"/>
  <c r="K93" i="18" s="1"/>
  <c r="H68" i="18"/>
  <c r="K68" i="18" s="1"/>
  <c r="H210" i="18"/>
  <c r="K210" i="18" s="1"/>
  <c r="H166" i="18"/>
  <c r="K166" i="18" s="1"/>
  <c r="H73" i="18"/>
  <c r="K73" i="18" s="1"/>
  <c r="H54" i="18"/>
  <c r="K54" i="18" s="1"/>
  <c r="H91" i="18"/>
  <c r="K91" i="18" s="1"/>
  <c r="H53" i="18"/>
  <c r="K53" i="18" s="1"/>
  <c r="H20" i="18"/>
  <c r="K20" i="18" s="1"/>
  <c r="H186" i="18"/>
  <c r="K186" i="18" s="1"/>
  <c r="H32" i="18"/>
  <c r="K32" i="18" s="1"/>
  <c r="H61" i="18"/>
  <c r="K61" i="18" s="1"/>
  <c r="H28" i="18"/>
  <c r="K28" i="18" s="1"/>
  <c r="H199" i="18"/>
  <c r="K199" i="18" s="1"/>
  <c r="H112" i="18"/>
  <c r="K112" i="18" s="1"/>
  <c r="H197" i="18"/>
  <c r="K197" i="18" s="1"/>
  <c r="H177" i="18"/>
  <c r="K177" i="18" s="1"/>
  <c r="H188" i="18"/>
  <c r="K188" i="18" s="1"/>
  <c r="H86" i="18"/>
  <c r="K86" i="18" s="1"/>
  <c r="H189" i="18"/>
  <c r="K189" i="18" s="1"/>
  <c r="H72" i="18"/>
  <c r="K72" i="18" s="1"/>
  <c r="H41" i="18"/>
  <c r="K41" i="18" s="1"/>
  <c r="H164" i="18"/>
  <c r="K164" i="18" s="1"/>
  <c r="H142" i="18"/>
  <c r="K142" i="18" s="1"/>
  <c r="H157" i="18"/>
  <c r="K157" i="18" s="1"/>
  <c r="H67" i="18"/>
  <c r="K67" i="18" s="1"/>
  <c r="H45" i="18"/>
  <c r="K45" i="18" s="1"/>
  <c r="H82" i="18"/>
  <c r="K82" i="18" s="1"/>
  <c r="H99" i="18"/>
  <c r="K99" i="18" s="1"/>
  <c r="H110" i="18"/>
  <c r="K110" i="18" s="1"/>
  <c r="H76" i="18"/>
  <c r="K76" i="18" s="1"/>
  <c r="H127" i="18"/>
  <c r="K127" i="18" s="1"/>
  <c r="H125" i="18"/>
  <c r="K125" i="18" s="1"/>
  <c r="H47" i="18"/>
  <c r="K47" i="18" s="1"/>
  <c r="H160" i="18"/>
  <c r="K160" i="18" s="1"/>
  <c r="H132" i="18"/>
  <c r="K132" i="18" s="1"/>
  <c r="H23" i="18"/>
  <c r="K23" i="18" s="1"/>
  <c r="H137" i="18"/>
  <c r="K137" i="18" s="1"/>
  <c r="H123" i="18"/>
  <c r="K123" i="18" s="1"/>
  <c r="H84" i="18"/>
  <c r="K84" i="18" s="1"/>
  <c r="H92" i="18"/>
  <c r="K92" i="18" s="1"/>
  <c r="H149" i="18"/>
  <c r="K149" i="18" s="1"/>
  <c r="H129" i="18"/>
  <c r="K129" i="18" s="1"/>
  <c r="H62" i="18"/>
  <c r="K62" i="18" s="1"/>
  <c r="H152" i="18"/>
  <c r="K152" i="18" s="1"/>
  <c r="H185" i="18"/>
  <c r="K185" i="18" s="1"/>
  <c r="H153" i="18"/>
  <c r="K153" i="18" s="1"/>
  <c r="H167" i="18"/>
  <c r="K167" i="18" s="1"/>
  <c r="H80" i="18"/>
  <c r="K80" i="18" s="1"/>
  <c r="H208" i="18"/>
  <c r="K208" i="18" s="1"/>
  <c r="H55" i="18"/>
  <c r="K55" i="18" s="1"/>
  <c r="H78" i="18"/>
  <c r="K78" i="18" s="1"/>
  <c r="H85" i="18"/>
  <c r="K85" i="18" s="1"/>
  <c r="H118" i="18"/>
  <c r="K118" i="18" s="1"/>
  <c r="H155" i="18"/>
  <c r="K155" i="18" s="1"/>
  <c r="H176" i="18"/>
  <c r="K176" i="18" s="1"/>
  <c r="H148" i="18"/>
  <c r="K148" i="18" s="1"/>
  <c r="H31" i="18"/>
  <c r="K31" i="18" s="1"/>
  <c r="H102" i="18"/>
  <c r="K102" i="18" s="1"/>
  <c r="H184" i="18"/>
  <c r="K184" i="18" s="1"/>
  <c r="H156" i="18"/>
  <c r="K156" i="18" s="1"/>
  <c r="H35" i="18"/>
  <c r="K35" i="18" s="1"/>
  <c r="H38" i="18"/>
  <c r="K38" i="18" s="1"/>
  <c r="H33" i="18"/>
  <c r="K33" i="18" s="1"/>
  <c r="H34" i="18"/>
  <c r="K34" i="18" s="1"/>
  <c r="H71" i="18"/>
  <c r="K71" i="18" s="1"/>
  <c r="H44" i="18"/>
  <c r="K44" i="18" s="1"/>
  <c r="H115" i="18"/>
  <c r="K115" i="18" s="1"/>
  <c r="H56" i="18"/>
  <c r="K56" i="18" s="1"/>
  <c r="H170" i="18"/>
  <c r="K170" i="18" s="1"/>
  <c r="H207" i="18"/>
  <c r="K207" i="18" s="1"/>
  <c r="H66" i="18"/>
  <c r="K66" i="18" s="1"/>
  <c r="H202" i="18"/>
  <c r="K202" i="18" s="1"/>
  <c r="H119" i="18"/>
  <c r="K119" i="18" s="1"/>
  <c r="H95" i="18"/>
  <c r="K95" i="18" s="1"/>
  <c r="H161" i="18"/>
  <c r="K161" i="18" s="1"/>
  <c r="H144" i="18"/>
  <c r="K144" i="18" s="1"/>
  <c r="H114" i="18"/>
  <c r="K114" i="18" s="1"/>
  <c r="H60" i="18"/>
  <c r="K60" i="18" s="1"/>
  <c r="H130" i="18"/>
  <c r="K130" i="18" s="1"/>
  <c r="H64" i="18"/>
  <c r="K64" i="18" s="1"/>
  <c r="H65" i="18"/>
  <c r="K65" i="18" s="1"/>
  <c r="H50" i="18"/>
  <c r="K50" i="18" s="1"/>
  <c r="H87" i="18"/>
  <c r="K87" i="18" s="1"/>
  <c r="H51" i="18"/>
  <c r="K51" i="18" s="1"/>
  <c r="H173" i="18"/>
  <c r="K173" i="18" s="1"/>
  <c r="H150" i="18"/>
  <c r="K150" i="18" s="1"/>
  <c r="H187" i="18"/>
  <c r="K187" i="18" s="1"/>
  <c r="H128" i="18"/>
  <c r="K128" i="18" s="1"/>
  <c r="H26" i="18"/>
  <c r="K26" i="18" s="1"/>
  <c r="H63" i="18"/>
  <c r="K63" i="18" s="1"/>
  <c r="H201" i="18"/>
  <c r="K201" i="18" s="1"/>
  <c r="H25" i="18"/>
  <c r="K25" i="18" s="1"/>
  <c r="H198" i="18"/>
  <c r="K198" i="18" s="1"/>
  <c r="H172" i="18"/>
  <c r="K172" i="18" s="1"/>
  <c r="H46" i="18"/>
  <c r="K46" i="18" s="1"/>
  <c r="H182" i="18"/>
  <c r="K182" i="18" s="1"/>
  <c r="H81" i="18"/>
  <c r="K81" i="18" s="1"/>
  <c r="H89" i="18"/>
  <c r="K89" i="18" s="1"/>
  <c r="H135" i="18"/>
  <c r="K135" i="18" s="1"/>
  <c r="H205" i="18"/>
  <c r="K205" i="18" s="1"/>
  <c r="H109" i="18"/>
  <c r="K109" i="18" s="1"/>
  <c r="H43" i="18"/>
  <c r="K43" i="18" s="1"/>
  <c r="H94" i="18"/>
  <c r="K94" i="18" s="1"/>
  <c r="H134" i="18"/>
  <c r="K134" i="18" s="1"/>
  <c r="H83" i="18"/>
  <c r="K83" i="18" s="1"/>
  <c r="K14" i="18" l="1"/>
  <c r="K212" i="18"/>
  <c r="K13" i="18"/>
  <c r="I21" i="18" l="1"/>
  <c r="J21" i="18" s="1"/>
  <c r="L21" i="18" s="1"/>
  <c r="I141" i="18"/>
  <c r="J141" i="18" s="1"/>
  <c r="L141" i="18" s="1"/>
  <c r="I80" i="18"/>
  <c r="J80" i="18" s="1"/>
  <c r="L80" i="18" s="1"/>
  <c r="I164" i="18"/>
  <c r="J164" i="18" s="1"/>
  <c r="L164" i="18" s="1"/>
  <c r="I169" i="18"/>
  <c r="J169" i="18" s="1"/>
  <c r="L169" i="18" s="1"/>
  <c r="I161" i="18"/>
  <c r="J161" i="18" s="1"/>
  <c r="L161" i="18" s="1"/>
  <c r="F14" i="29"/>
  <c r="I67" i="18"/>
  <c r="J67" i="18" s="1"/>
  <c r="L67" i="18" s="1"/>
  <c r="I32" i="18"/>
  <c r="J32" i="18" s="1"/>
  <c r="L32" i="18" s="1"/>
  <c r="I173" i="18"/>
  <c r="J173" i="18" s="1"/>
  <c r="L173" i="18" s="1"/>
  <c r="I118" i="18"/>
  <c r="J118" i="18" s="1"/>
  <c r="L118" i="18" s="1"/>
  <c r="I50" i="18"/>
  <c r="J50" i="18" s="1"/>
  <c r="L50" i="18" s="1"/>
  <c r="I208" i="18"/>
  <c r="J208" i="18" s="1"/>
  <c r="L208" i="18" s="1"/>
  <c r="I135" i="18"/>
  <c r="J135" i="18" s="1"/>
  <c r="L135" i="18" s="1"/>
  <c r="I65" i="18"/>
  <c r="J65" i="18" s="1"/>
  <c r="L65" i="18" s="1"/>
  <c r="I176" i="18"/>
  <c r="J176" i="18" s="1"/>
  <c r="L176" i="18" s="1"/>
  <c r="I43" i="18"/>
  <c r="J43" i="18" s="1"/>
  <c r="L43" i="18" s="1"/>
  <c r="I92" i="18"/>
  <c r="J92" i="18" s="1"/>
  <c r="L92" i="18" s="1"/>
  <c r="I108" i="18"/>
  <c r="J108" i="18" s="1"/>
  <c r="L108" i="18" s="1"/>
  <c r="I101" i="18"/>
  <c r="J101" i="18" s="1"/>
  <c r="L101" i="18" s="1"/>
  <c r="I152" i="18"/>
  <c r="J152" i="18" s="1"/>
  <c r="L152" i="18" s="1"/>
  <c r="I45" i="18"/>
  <c r="J45" i="18" s="1"/>
  <c r="L45" i="18" s="1"/>
  <c r="I37" i="18"/>
  <c r="J37" i="18" s="1"/>
  <c r="L37" i="18" s="1"/>
  <c r="I209" i="18"/>
  <c r="J209" i="18" s="1"/>
  <c r="L209" i="18" s="1"/>
  <c r="I179" i="18"/>
  <c r="J179" i="18" s="1"/>
  <c r="L179" i="18" s="1"/>
  <c r="I83" i="18"/>
  <c r="J83" i="18" s="1"/>
  <c r="L83" i="18" s="1"/>
  <c r="I130" i="18"/>
  <c r="J130" i="18" s="1"/>
  <c r="L130" i="18" s="1"/>
  <c r="I77" i="18"/>
  <c r="J77" i="18" s="1"/>
  <c r="L77" i="18" s="1"/>
  <c r="I94" i="18"/>
  <c r="J94" i="18" s="1"/>
  <c r="L94" i="18" s="1"/>
  <c r="I145" i="18"/>
  <c r="J145" i="18" s="1"/>
  <c r="L145" i="18" s="1"/>
  <c r="I20" i="18"/>
  <c r="J20" i="18" s="1"/>
  <c r="I120" i="18"/>
  <c r="J120" i="18" s="1"/>
  <c r="L120" i="18" s="1"/>
  <c r="I125" i="18"/>
  <c r="J125" i="18" s="1"/>
  <c r="L125" i="18" s="1"/>
  <c r="I167" i="18"/>
  <c r="J167" i="18" s="1"/>
  <c r="L167" i="18" s="1"/>
  <c r="I149" i="18"/>
  <c r="J149" i="18" s="1"/>
  <c r="L149" i="18" s="1"/>
  <c r="I42" i="18"/>
  <c r="J42" i="18" s="1"/>
  <c r="L42" i="18" s="1"/>
  <c r="I205" i="18"/>
  <c r="J205" i="18" s="1"/>
  <c r="L205" i="18" s="1"/>
  <c r="I34" i="18"/>
  <c r="J34" i="18" s="1"/>
  <c r="L34" i="18" s="1"/>
  <c r="I31" i="18"/>
  <c r="J31" i="18" s="1"/>
  <c r="L31" i="18" s="1"/>
  <c r="I114" i="18"/>
  <c r="J114" i="18" s="1"/>
  <c r="L114" i="18" s="1"/>
  <c r="I192" i="18"/>
  <c r="J192" i="18" s="1"/>
  <c r="L192" i="18" s="1"/>
  <c r="I72" i="18"/>
  <c r="J72" i="18" s="1"/>
  <c r="L72" i="18" s="1"/>
  <c r="I175" i="18"/>
  <c r="J175" i="18" s="1"/>
  <c r="L175" i="18" s="1"/>
  <c r="I59" i="18"/>
  <c r="J59" i="18" s="1"/>
  <c r="L59" i="18" s="1"/>
  <c r="I190" i="18"/>
  <c r="J190" i="18" s="1"/>
  <c r="L190" i="18" s="1"/>
  <c r="I93" i="18"/>
  <c r="J93" i="18" s="1"/>
  <c r="L93" i="18" s="1"/>
  <c r="I58" i="18"/>
  <c r="J58" i="18" s="1"/>
  <c r="L58" i="18" s="1"/>
  <c r="I154" i="18"/>
  <c r="J154" i="18" s="1"/>
  <c r="L154" i="18" s="1"/>
  <c r="I139" i="18"/>
  <c r="J139" i="18" s="1"/>
  <c r="L139" i="18" s="1"/>
  <c r="I172" i="18"/>
  <c r="J172" i="18" s="1"/>
  <c r="L172" i="18" s="1"/>
  <c r="I70" i="18"/>
  <c r="J70" i="18" s="1"/>
  <c r="L70" i="18" s="1"/>
  <c r="I200" i="18"/>
  <c r="J200" i="18" s="1"/>
  <c r="L200" i="18" s="1"/>
  <c r="I48" i="18"/>
  <c r="J48" i="18" s="1"/>
  <c r="L48" i="18" s="1"/>
  <c r="I124" i="18"/>
  <c r="J124" i="18" s="1"/>
  <c r="L124" i="18" s="1"/>
  <c r="I129" i="18"/>
  <c r="J129" i="18" s="1"/>
  <c r="L129" i="18" s="1"/>
  <c r="I150" i="18"/>
  <c r="J150" i="18" s="1"/>
  <c r="L150" i="18" s="1"/>
  <c r="I113" i="18"/>
  <c r="J113" i="18" s="1"/>
  <c r="L113" i="18" s="1"/>
  <c r="I177" i="18"/>
  <c r="J177" i="18" s="1"/>
  <c r="L177" i="18" s="1"/>
  <c r="I78" i="18"/>
  <c r="J78" i="18" s="1"/>
  <c r="L78" i="18" s="1"/>
  <c r="I127" i="18"/>
  <c r="J127" i="18" s="1"/>
  <c r="L127" i="18" s="1"/>
  <c r="I44" i="18"/>
  <c r="J44" i="18" s="1"/>
  <c r="L44" i="18" s="1"/>
  <c r="I74" i="18"/>
  <c r="J74" i="18" s="1"/>
  <c r="L74" i="18" s="1"/>
  <c r="I100" i="18"/>
  <c r="J100" i="18" s="1"/>
  <c r="L100" i="18" s="1"/>
  <c r="I170" i="18"/>
  <c r="J170" i="18" s="1"/>
  <c r="L170" i="18" s="1"/>
  <c r="I147" i="18"/>
  <c r="J147" i="18" s="1"/>
  <c r="L147" i="18" s="1"/>
  <c r="I87" i="18"/>
  <c r="J87" i="18" s="1"/>
  <c r="L87" i="18" s="1"/>
  <c r="I26" i="18"/>
  <c r="J26" i="18" s="1"/>
  <c r="L26" i="18" s="1"/>
  <c r="I180" i="18"/>
  <c r="J180" i="18" s="1"/>
  <c r="L180" i="18" s="1"/>
  <c r="I28" i="18"/>
  <c r="J28" i="18" s="1"/>
  <c r="L28" i="18" s="1"/>
  <c r="I39" i="18"/>
  <c r="J39" i="18" s="1"/>
  <c r="L39" i="18" s="1"/>
  <c r="I76" i="18"/>
  <c r="J76" i="18" s="1"/>
  <c r="L76" i="18" s="1"/>
  <c r="I62" i="18"/>
  <c r="J62" i="18" s="1"/>
  <c r="L62" i="18" s="1"/>
  <c r="I153" i="18"/>
  <c r="J153" i="18" s="1"/>
  <c r="L153" i="18" s="1"/>
  <c r="I55" i="18"/>
  <c r="J55" i="18" s="1"/>
  <c r="L55" i="18" s="1"/>
  <c r="I201" i="18"/>
  <c r="J201" i="18" s="1"/>
  <c r="L201" i="18" s="1"/>
  <c r="I193" i="18"/>
  <c r="J193" i="18" s="1"/>
  <c r="L193" i="18" s="1"/>
  <c r="I123" i="18"/>
  <c r="J123" i="18" s="1"/>
  <c r="L123" i="18" s="1"/>
  <c r="I199" i="18"/>
  <c r="J199" i="18" s="1"/>
  <c r="L199" i="18" s="1"/>
  <c r="I51" i="18"/>
  <c r="J51" i="18" s="1"/>
  <c r="L51" i="18" s="1"/>
  <c r="I79" i="18"/>
  <c r="J79" i="18" s="1"/>
  <c r="L79" i="18" s="1"/>
  <c r="I66" i="18"/>
  <c r="J66" i="18" s="1"/>
  <c r="L66" i="18" s="1"/>
  <c r="I210" i="18"/>
  <c r="J210" i="18" s="1"/>
  <c r="L210" i="18" s="1"/>
  <c r="I49" i="18"/>
  <c r="J49" i="18" s="1"/>
  <c r="L49" i="18" s="1"/>
  <c r="I112" i="18"/>
  <c r="J112" i="18" s="1"/>
  <c r="L112" i="18" s="1"/>
  <c r="I111" i="18"/>
  <c r="J111" i="18" s="1"/>
  <c r="L111" i="18" s="1"/>
  <c r="I189" i="18"/>
  <c r="J189" i="18" s="1"/>
  <c r="L189" i="18" s="1"/>
  <c r="I133" i="18"/>
  <c r="J133" i="18" s="1"/>
  <c r="L133" i="18" s="1"/>
  <c r="I191" i="18"/>
  <c r="J191" i="18" s="1"/>
  <c r="L191" i="18" s="1"/>
  <c r="I73" i="18"/>
  <c r="J73" i="18" s="1"/>
  <c r="L73" i="18" s="1"/>
  <c r="I64" i="18"/>
  <c r="J64" i="18" s="1"/>
  <c r="L64" i="18" s="1"/>
  <c r="I131" i="18"/>
  <c r="J131" i="18" s="1"/>
  <c r="L131" i="18" s="1"/>
  <c r="I128" i="18"/>
  <c r="J128" i="18" s="1"/>
  <c r="L128" i="18" s="1"/>
  <c r="I52" i="18"/>
  <c r="J52" i="18" s="1"/>
  <c r="L52" i="18" s="1"/>
  <c r="I148" i="18"/>
  <c r="J148" i="18" s="1"/>
  <c r="L148" i="18" s="1"/>
  <c r="I182" i="18"/>
  <c r="J182" i="18" s="1"/>
  <c r="L182" i="18" s="1"/>
  <c r="I202" i="18"/>
  <c r="J202" i="18" s="1"/>
  <c r="L202" i="18" s="1"/>
  <c r="I166" i="18"/>
  <c r="J166" i="18" s="1"/>
  <c r="L166" i="18" s="1"/>
  <c r="I186" i="18"/>
  <c r="J186" i="18" s="1"/>
  <c r="L186" i="18" s="1"/>
  <c r="I88" i="18"/>
  <c r="J88" i="18" s="1"/>
  <c r="L88" i="18" s="1"/>
  <c r="I33" i="18"/>
  <c r="J33" i="18" s="1"/>
  <c r="L33" i="18" s="1"/>
  <c r="I138" i="18"/>
  <c r="J138" i="18" s="1"/>
  <c r="L138" i="18" s="1"/>
  <c r="I204" i="18"/>
  <c r="J204" i="18" s="1"/>
  <c r="L204" i="18" s="1"/>
  <c r="I168" i="18"/>
  <c r="J168" i="18" s="1"/>
  <c r="L168" i="18" s="1"/>
  <c r="I36" i="18"/>
  <c r="J36" i="18" s="1"/>
  <c r="L36" i="18" s="1"/>
  <c r="I98" i="18"/>
  <c r="J98" i="18" s="1"/>
  <c r="L98" i="18" s="1"/>
  <c r="I90" i="18"/>
  <c r="J90" i="18" s="1"/>
  <c r="L90" i="18" s="1"/>
  <c r="I63" i="18"/>
  <c r="J63" i="18" s="1"/>
  <c r="L63" i="18" s="1"/>
  <c r="I196" i="18"/>
  <c r="J196" i="18" s="1"/>
  <c r="L196" i="18" s="1"/>
  <c r="I203" i="18"/>
  <c r="J203" i="18" s="1"/>
  <c r="L203" i="18" s="1"/>
  <c r="I61" i="18"/>
  <c r="J61" i="18" s="1"/>
  <c r="L61" i="18" s="1"/>
  <c r="I183" i="18"/>
  <c r="J183" i="18" s="1"/>
  <c r="L183" i="18" s="1"/>
  <c r="I122" i="18"/>
  <c r="J122" i="18" s="1"/>
  <c r="L122" i="18" s="1"/>
  <c r="I22" i="18"/>
  <c r="J22" i="18" s="1"/>
  <c r="L22" i="18" s="1"/>
  <c r="I115" i="18"/>
  <c r="J115" i="18" s="1"/>
  <c r="L115" i="18" s="1"/>
  <c r="I163" i="18"/>
  <c r="J163" i="18" s="1"/>
  <c r="L163" i="18" s="1"/>
  <c r="I29" i="18"/>
  <c r="J29" i="18" s="1"/>
  <c r="L29" i="18" s="1"/>
  <c r="I25" i="18"/>
  <c r="J25" i="18" s="1"/>
  <c r="L25" i="18" s="1"/>
  <c r="I56" i="18"/>
  <c r="J56" i="18" s="1"/>
  <c r="I144" i="18"/>
  <c r="J144" i="18" s="1"/>
  <c r="L144" i="18" s="1"/>
  <c r="I57" i="18"/>
  <c r="J57" i="18" s="1"/>
  <c r="L57" i="18" s="1"/>
  <c r="I119" i="18"/>
  <c r="J119" i="18" s="1"/>
  <c r="L119" i="18" s="1"/>
  <c r="I40" i="18"/>
  <c r="J40" i="18" s="1"/>
  <c r="L40" i="18" s="1"/>
  <c r="I181" i="18"/>
  <c r="J181" i="18" s="1"/>
  <c r="L181" i="18" s="1"/>
  <c r="I27" i="18"/>
  <c r="J27" i="18" s="1"/>
  <c r="L27" i="18" s="1"/>
  <c r="I195" i="18"/>
  <c r="J195" i="18" s="1"/>
  <c r="L195" i="18" s="1"/>
  <c r="I106" i="18"/>
  <c r="J106" i="18" s="1"/>
  <c r="L106" i="18" s="1"/>
  <c r="I104" i="18"/>
  <c r="J104" i="18" s="1"/>
  <c r="L104" i="18" s="1"/>
  <c r="I41" i="18"/>
  <c r="J41" i="18" s="1"/>
  <c r="L41" i="18" s="1"/>
  <c r="I136" i="18"/>
  <c r="J136" i="18" s="1"/>
  <c r="L136" i="18" s="1"/>
  <c r="I91" i="18"/>
  <c r="J91" i="18" s="1"/>
  <c r="L91" i="18" s="1"/>
  <c r="I162" i="18"/>
  <c r="J162" i="18" s="1"/>
  <c r="L162" i="18" s="1"/>
  <c r="I194" i="18"/>
  <c r="J194" i="18" s="1"/>
  <c r="L194" i="18" s="1"/>
  <c r="I54" i="18"/>
  <c r="J54" i="18" s="1"/>
  <c r="L54" i="18" s="1"/>
  <c r="I121" i="18"/>
  <c r="J121" i="18" s="1"/>
  <c r="L121" i="18" s="1"/>
  <c r="I132" i="18"/>
  <c r="J132" i="18" s="1"/>
  <c r="L132" i="18" s="1"/>
  <c r="I184" i="18"/>
  <c r="J184" i="18" s="1"/>
  <c r="L184" i="18" s="1"/>
  <c r="I134" i="18"/>
  <c r="J134" i="18" s="1"/>
  <c r="L134" i="18" s="1"/>
  <c r="I68" i="18"/>
  <c r="J68" i="18" s="1"/>
  <c r="L68" i="18" s="1"/>
  <c r="I137" i="18"/>
  <c r="J137" i="18" s="1"/>
  <c r="L137" i="18" s="1"/>
  <c r="I159" i="18"/>
  <c r="J159" i="18" s="1"/>
  <c r="L159" i="18" s="1"/>
  <c r="I143" i="18"/>
  <c r="J143" i="18" s="1"/>
  <c r="L143" i="18" s="1"/>
  <c r="I105" i="18"/>
  <c r="J105" i="18" s="1"/>
  <c r="L105" i="18" s="1"/>
  <c r="I103" i="18"/>
  <c r="J103" i="18" s="1"/>
  <c r="L103" i="18" s="1"/>
  <c r="I155" i="18"/>
  <c r="J155" i="18" s="1"/>
  <c r="L155" i="18" s="1"/>
  <c r="I188" i="18"/>
  <c r="J188" i="18" s="1"/>
  <c r="L188" i="18" s="1"/>
  <c r="I89" i="18"/>
  <c r="J89" i="18" s="1"/>
  <c r="L89" i="18" s="1"/>
  <c r="I84" i="18"/>
  <c r="J84" i="18" s="1"/>
  <c r="L84" i="18" s="1"/>
  <c r="I198" i="18"/>
  <c r="J198" i="18" s="1"/>
  <c r="L198" i="18" s="1"/>
  <c r="I86" i="18"/>
  <c r="J86" i="18" s="1"/>
  <c r="L86" i="18" s="1"/>
  <c r="I158" i="18"/>
  <c r="J158" i="18" s="1"/>
  <c r="L158" i="18" s="1"/>
  <c r="I165" i="18"/>
  <c r="J165" i="18" s="1"/>
  <c r="L165" i="18" s="1"/>
  <c r="I53" i="18"/>
  <c r="J53" i="18" s="1"/>
  <c r="L53" i="18" s="1"/>
  <c r="I85" i="18"/>
  <c r="J85" i="18" s="1"/>
  <c r="L85" i="18" s="1"/>
  <c r="I95" i="18"/>
  <c r="J95" i="18" s="1"/>
  <c r="L95" i="18" s="1"/>
  <c r="I102" i="18"/>
  <c r="J102" i="18" s="1"/>
  <c r="L102" i="18" s="1"/>
  <c r="I185" i="18"/>
  <c r="J185" i="18" s="1"/>
  <c r="L185" i="18" s="1"/>
  <c r="I156" i="18"/>
  <c r="J156" i="18" s="1"/>
  <c r="L156" i="18" s="1"/>
  <c r="I157" i="18"/>
  <c r="J157" i="18" s="1"/>
  <c r="L157" i="18" s="1"/>
  <c r="I35" i="18"/>
  <c r="J35" i="18" s="1"/>
  <c r="L35" i="18" s="1"/>
  <c r="I47" i="18"/>
  <c r="J47" i="18" s="1"/>
  <c r="L47" i="18" s="1"/>
  <c r="I116" i="18"/>
  <c r="J116" i="18" s="1"/>
  <c r="L116" i="18" s="1"/>
  <c r="I187" i="18"/>
  <c r="J187" i="18" s="1"/>
  <c r="L187" i="18" s="1"/>
  <c r="I97" i="18"/>
  <c r="J97" i="18" s="1"/>
  <c r="L97" i="18" s="1"/>
  <c r="I211" i="18"/>
  <c r="J211" i="18" s="1"/>
  <c r="L211" i="18" s="1"/>
  <c r="I24" i="18"/>
  <c r="J24" i="18" s="1"/>
  <c r="L24" i="18" s="1"/>
  <c r="I81" i="18"/>
  <c r="J81" i="18" s="1"/>
  <c r="L81" i="18" s="1"/>
  <c r="I151" i="18"/>
  <c r="J151" i="18" s="1"/>
  <c r="L151" i="18" s="1"/>
  <c r="I178" i="18"/>
  <c r="J178" i="18" s="1"/>
  <c r="L178" i="18" s="1"/>
  <c r="I75" i="18"/>
  <c r="J75" i="18" s="1"/>
  <c r="L75" i="18" s="1"/>
  <c r="I206" i="18"/>
  <c r="J206" i="18" s="1"/>
  <c r="L206" i="18" s="1"/>
  <c r="I46" i="18"/>
  <c r="J46" i="18" s="1"/>
  <c r="L46" i="18" s="1"/>
  <c r="I126" i="18"/>
  <c r="J126" i="18" s="1"/>
  <c r="L126" i="18" s="1"/>
  <c r="I23" i="18"/>
  <c r="J23" i="18" s="1"/>
  <c r="L23" i="18" s="1"/>
  <c r="I82" i="18"/>
  <c r="J82" i="18" s="1"/>
  <c r="L82" i="18" s="1"/>
  <c r="I107" i="18"/>
  <c r="J107" i="18" s="1"/>
  <c r="L107" i="18" s="1"/>
  <c r="I117" i="18"/>
  <c r="J117" i="18" s="1"/>
  <c r="L117" i="18" s="1"/>
  <c r="I197" i="18"/>
  <c r="J197" i="18" s="1"/>
  <c r="L197" i="18" s="1"/>
  <c r="I71" i="18"/>
  <c r="J71" i="18" s="1"/>
  <c r="L71" i="18" s="1"/>
  <c r="I140" i="18"/>
  <c r="J140" i="18" s="1"/>
  <c r="L140" i="18" s="1"/>
  <c r="I99" i="18"/>
  <c r="J99" i="18" s="1"/>
  <c r="L99" i="18" s="1"/>
  <c r="I69" i="18"/>
  <c r="J69" i="18" s="1"/>
  <c r="L69" i="18" s="1"/>
  <c r="I38" i="18"/>
  <c r="J38" i="18" s="1"/>
  <c r="L38" i="18" s="1"/>
  <c r="I160" i="18"/>
  <c r="J160" i="18" s="1"/>
  <c r="L160" i="18" s="1"/>
  <c r="I207" i="18"/>
  <c r="J207" i="18" s="1"/>
  <c r="L207" i="18" s="1"/>
  <c r="I142" i="18"/>
  <c r="J142" i="18" s="1"/>
  <c r="L142" i="18" s="1"/>
  <c r="I30" i="18"/>
  <c r="J30" i="18" s="1"/>
  <c r="L30" i="18" s="1"/>
  <c r="I146" i="18"/>
  <c r="J146" i="18" s="1"/>
  <c r="L146" i="18" s="1"/>
  <c r="I60" i="18"/>
  <c r="J60" i="18" s="1"/>
  <c r="L60" i="18" s="1"/>
  <c r="I174" i="18"/>
  <c r="J174" i="18" s="1"/>
  <c r="L174" i="18" s="1"/>
  <c r="I96" i="18"/>
  <c r="J96" i="18" s="1"/>
  <c r="L96" i="18" s="1"/>
  <c r="I171" i="18"/>
  <c r="J171" i="18" s="1"/>
  <c r="L171" i="18" s="1"/>
  <c r="I109" i="18"/>
  <c r="J109" i="18" s="1"/>
  <c r="L109" i="18" s="1"/>
  <c r="I110" i="18"/>
  <c r="J110" i="18" s="1"/>
  <c r="L110" i="18" s="1"/>
  <c r="F12" i="29"/>
  <c r="L20" i="18" l="1"/>
  <c r="J212" i="18"/>
  <c r="J14" i="18"/>
  <c r="J13" i="18"/>
  <c r="L56" i="18"/>
  <c r="L13" i="18" l="1"/>
  <c r="L212" i="18"/>
  <c r="L14" i="18"/>
  <c r="M26" i="18" l="1"/>
  <c r="N26" i="18" s="1"/>
  <c r="R26" i="18" s="1"/>
  <c r="M204" i="18"/>
  <c r="N204" i="18" s="1"/>
  <c r="R204" i="18" s="1"/>
  <c r="M45" i="18"/>
  <c r="N45" i="18" s="1"/>
  <c r="R45" i="18" s="1"/>
  <c r="M33" i="18"/>
  <c r="N33" i="18" s="1"/>
  <c r="R33" i="18" s="1"/>
  <c r="M31" i="18"/>
  <c r="N31" i="18" s="1"/>
  <c r="R31" i="18" s="1"/>
  <c r="M37" i="18"/>
  <c r="N37" i="18" s="1"/>
  <c r="R37" i="18" s="1"/>
  <c r="M143" i="18"/>
  <c r="N143" i="18" s="1"/>
  <c r="R143" i="18" s="1"/>
  <c r="M73" i="18"/>
  <c r="N73" i="18" s="1"/>
  <c r="R73" i="18" s="1"/>
  <c r="M211" i="18"/>
  <c r="N211" i="18" s="1"/>
  <c r="R211" i="18" s="1"/>
  <c r="M67" i="18"/>
  <c r="N67" i="18" s="1"/>
  <c r="R67" i="18" s="1"/>
  <c r="M183" i="18"/>
  <c r="N183" i="18" s="1"/>
  <c r="R183" i="18" s="1"/>
  <c r="M58" i="18"/>
  <c r="N58" i="18" s="1"/>
  <c r="R58" i="18" s="1"/>
  <c r="M107" i="18"/>
  <c r="N107" i="18" s="1"/>
  <c r="R107" i="18" s="1"/>
  <c r="M178" i="18"/>
  <c r="N178" i="18" s="1"/>
  <c r="R178" i="18" s="1"/>
  <c r="M111" i="18"/>
  <c r="N111" i="18" s="1"/>
  <c r="R111" i="18" s="1"/>
  <c r="M130" i="18"/>
  <c r="N130" i="18" s="1"/>
  <c r="R130" i="18" s="1"/>
  <c r="M44" i="18"/>
  <c r="N44" i="18" s="1"/>
  <c r="R44" i="18" s="1"/>
  <c r="M163" i="18"/>
  <c r="N163" i="18" s="1"/>
  <c r="R163" i="18" s="1"/>
  <c r="M112" i="18"/>
  <c r="N112" i="18" s="1"/>
  <c r="R112" i="18" s="1"/>
  <c r="M195" i="18"/>
  <c r="N195" i="18" s="1"/>
  <c r="R195" i="18" s="1"/>
  <c r="M113" i="18"/>
  <c r="N113" i="18" s="1"/>
  <c r="R113" i="18" s="1"/>
  <c r="M63" i="18"/>
  <c r="N63" i="18" s="1"/>
  <c r="R63" i="18" s="1"/>
  <c r="M46" i="18"/>
  <c r="N46" i="18" s="1"/>
  <c r="R46" i="18" s="1"/>
  <c r="M136" i="18"/>
  <c r="N136" i="18" s="1"/>
  <c r="R136" i="18" s="1"/>
  <c r="M123" i="18"/>
  <c r="N123" i="18" s="1"/>
  <c r="R123" i="18" s="1"/>
  <c r="M158" i="18"/>
  <c r="N158" i="18" s="1"/>
  <c r="R158" i="18" s="1"/>
  <c r="M30" i="18"/>
  <c r="N30" i="18" s="1"/>
  <c r="R30" i="18" s="1"/>
  <c r="M32" i="18"/>
  <c r="N32" i="18" s="1"/>
  <c r="R32" i="18" s="1"/>
  <c r="M72" i="18"/>
  <c r="N72" i="18" s="1"/>
  <c r="R72" i="18" s="1"/>
  <c r="M87" i="18"/>
  <c r="N87" i="18" s="1"/>
  <c r="R87" i="18" s="1"/>
  <c r="M148" i="18"/>
  <c r="N148" i="18" s="1"/>
  <c r="R148" i="18" s="1"/>
  <c r="M182" i="18"/>
  <c r="N182" i="18" s="1"/>
  <c r="R182" i="18" s="1"/>
  <c r="M162" i="18"/>
  <c r="N162" i="18" s="1"/>
  <c r="R162" i="18" s="1"/>
  <c r="M132" i="18"/>
  <c r="N132" i="18" s="1"/>
  <c r="R132" i="18" s="1"/>
  <c r="M20" i="18"/>
  <c r="M60" i="18"/>
  <c r="N60" i="18" s="1"/>
  <c r="R60" i="18" s="1"/>
  <c r="M56" i="18"/>
  <c r="M119" i="18"/>
  <c r="N119" i="18" s="1"/>
  <c r="R119" i="18" s="1"/>
  <c r="M193" i="18"/>
  <c r="N193" i="18" s="1"/>
  <c r="R193" i="18" s="1"/>
  <c r="M109" i="18"/>
  <c r="N109" i="18" s="1"/>
  <c r="R109" i="18" s="1"/>
  <c r="M156" i="18"/>
  <c r="N156" i="18" s="1"/>
  <c r="R156" i="18" s="1"/>
  <c r="M71" i="18"/>
  <c r="N71" i="18" s="1"/>
  <c r="R71" i="18" s="1"/>
  <c r="M100" i="18"/>
  <c r="N100" i="18" s="1"/>
  <c r="R100" i="18" s="1"/>
  <c r="M104" i="18"/>
  <c r="N104" i="18" s="1"/>
  <c r="R104" i="18" s="1"/>
  <c r="M129" i="18"/>
  <c r="N129" i="18" s="1"/>
  <c r="R129" i="18" s="1"/>
  <c r="M82" i="18"/>
  <c r="N82" i="18" s="1"/>
  <c r="R82" i="18" s="1"/>
  <c r="M206" i="18"/>
  <c r="N206" i="18" s="1"/>
  <c r="R206" i="18" s="1"/>
  <c r="M196" i="18"/>
  <c r="N196" i="18" s="1"/>
  <c r="R196" i="18" s="1"/>
  <c r="M144" i="18"/>
  <c r="N144" i="18" s="1"/>
  <c r="R144" i="18" s="1"/>
  <c r="M135" i="18"/>
  <c r="N135" i="18" s="1"/>
  <c r="R135" i="18" s="1"/>
  <c r="M210" i="18"/>
  <c r="N210" i="18" s="1"/>
  <c r="R210" i="18" s="1"/>
  <c r="M186" i="18"/>
  <c r="N186" i="18" s="1"/>
  <c r="R186" i="18" s="1"/>
  <c r="M79" i="18"/>
  <c r="N79" i="18" s="1"/>
  <c r="R79" i="18" s="1"/>
  <c r="M110" i="18"/>
  <c r="N110" i="18" s="1"/>
  <c r="R110" i="18" s="1"/>
  <c r="M197" i="18"/>
  <c r="N197" i="18" s="1"/>
  <c r="R197" i="18" s="1"/>
  <c r="M152" i="18"/>
  <c r="N152" i="18" s="1"/>
  <c r="R152" i="18" s="1"/>
  <c r="M102" i="18"/>
  <c r="N102" i="18" s="1"/>
  <c r="R102" i="18" s="1"/>
  <c r="M55" i="18"/>
  <c r="N55" i="18" s="1"/>
  <c r="R55" i="18" s="1"/>
  <c r="M47" i="18"/>
  <c r="N47" i="18" s="1"/>
  <c r="R47" i="18" s="1"/>
  <c r="M150" i="18"/>
  <c r="N150" i="18" s="1"/>
  <c r="R150" i="18" s="1"/>
  <c r="M124" i="18"/>
  <c r="N124" i="18" s="1"/>
  <c r="R124" i="18" s="1"/>
  <c r="M48" i="18"/>
  <c r="N48" i="18" s="1"/>
  <c r="R48" i="18" s="1"/>
  <c r="M62" i="18"/>
  <c r="N62" i="18" s="1"/>
  <c r="R62" i="18" s="1"/>
  <c r="M176" i="18"/>
  <c r="N176" i="18" s="1"/>
  <c r="R176" i="18" s="1"/>
  <c r="M168" i="18"/>
  <c r="N168" i="18" s="1"/>
  <c r="R168" i="18" s="1"/>
  <c r="M91" i="18"/>
  <c r="N91" i="18" s="1"/>
  <c r="R91" i="18" s="1"/>
  <c r="M98" i="18"/>
  <c r="N98" i="18" s="1"/>
  <c r="R98" i="18" s="1"/>
  <c r="M140" i="18"/>
  <c r="N140" i="18" s="1"/>
  <c r="R140" i="18" s="1"/>
  <c r="M127" i="18"/>
  <c r="N127" i="18" s="1"/>
  <c r="R127" i="18" s="1"/>
  <c r="M117" i="18"/>
  <c r="N117" i="18" s="1"/>
  <c r="R117" i="18" s="1"/>
  <c r="M23" i="18"/>
  <c r="N23" i="18" s="1"/>
  <c r="R23" i="18" s="1"/>
  <c r="M161" i="18"/>
  <c r="N161" i="18" s="1"/>
  <c r="R161" i="18" s="1"/>
  <c r="M80" i="18"/>
  <c r="N80" i="18" s="1"/>
  <c r="R80" i="18" s="1"/>
  <c r="M189" i="18"/>
  <c r="N189" i="18" s="1"/>
  <c r="R189" i="18" s="1"/>
  <c r="M52" i="18"/>
  <c r="N52" i="18" s="1"/>
  <c r="R52" i="18" s="1"/>
  <c r="M151" i="18"/>
  <c r="N151" i="18" s="1"/>
  <c r="R151" i="18" s="1"/>
  <c r="M192" i="18"/>
  <c r="N192" i="18" s="1"/>
  <c r="R192" i="18" s="1"/>
  <c r="M141" i="18"/>
  <c r="N141" i="18" s="1"/>
  <c r="R141" i="18" s="1"/>
  <c r="M21" i="18"/>
  <c r="N21" i="18" s="1"/>
  <c r="R21" i="18" s="1"/>
  <c r="M27" i="18"/>
  <c r="N27" i="18" s="1"/>
  <c r="R27" i="18" s="1"/>
  <c r="M194" i="18"/>
  <c r="N194" i="18" s="1"/>
  <c r="R194" i="18" s="1"/>
  <c r="M25" i="18"/>
  <c r="N25" i="18" s="1"/>
  <c r="R25" i="18" s="1"/>
  <c r="M54" i="18"/>
  <c r="N54" i="18" s="1"/>
  <c r="R54" i="18" s="1"/>
  <c r="M50" i="18"/>
  <c r="N50" i="18" s="1"/>
  <c r="R50" i="18" s="1"/>
  <c r="M146" i="18"/>
  <c r="N146" i="18" s="1"/>
  <c r="R146" i="18" s="1"/>
  <c r="M209" i="18"/>
  <c r="N209" i="18" s="1"/>
  <c r="R209" i="18" s="1"/>
  <c r="M114" i="18"/>
  <c r="N114" i="18" s="1"/>
  <c r="R114" i="18" s="1"/>
  <c r="M43" i="18"/>
  <c r="N43" i="18" s="1"/>
  <c r="R43" i="18" s="1"/>
  <c r="M185" i="18"/>
  <c r="N185" i="18" s="1"/>
  <c r="R185" i="18" s="1"/>
  <c r="M29" i="18"/>
  <c r="N29" i="18" s="1"/>
  <c r="R29" i="18" s="1"/>
  <c r="M167" i="18"/>
  <c r="N167" i="18" s="1"/>
  <c r="R167" i="18" s="1"/>
  <c r="M134" i="18"/>
  <c r="N134" i="18" s="1"/>
  <c r="R134" i="18" s="1"/>
  <c r="M69" i="18"/>
  <c r="N69" i="18" s="1"/>
  <c r="R69" i="18" s="1"/>
  <c r="M34" i="18"/>
  <c r="N34" i="18" s="1"/>
  <c r="R34" i="18" s="1"/>
  <c r="M28" i="18"/>
  <c r="N28" i="18" s="1"/>
  <c r="R28" i="18" s="1"/>
  <c r="M175" i="18"/>
  <c r="N175" i="18" s="1"/>
  <c r="R175" i="18" s="1"/>
  <c r="M137" i="18"/>
  <c r="N137" i="18" s="1"/>
  <c r="R137" i="18" s="1"/>
  <c r="M155" i="18"/>
  <c r="N155" i="18" s="1"/>
  <c r="R155" i="18" s="1"/>
  <c r="M188" i="18"/>
  <c r="N188" i="18" s="1"/>
  <c r="R188" i="18" s="1"/>
  <c r="M139" i="18"/>
  <c r="N139" i="18" s="1"/>
  <c r="R139" i="18" s="1"/>
  <c r="M184" i="18"/>
  <c r="N184" i="18" s="1"/>
  <c r="R184" i="18" s="1"/>
  <c r="M164" i="18"/>
  <c r="N164" i="18" s="1"/>
  <c r="R164" i="18" s="1"/>
  <c r="M70" i="18"/>
  <c r="N70" i="18" s="1"/>
  <c r="R70" i="18" s="1"/>
  <c r="M179" i="18"/>
  <c r="N179" i="18" s="1"/>
  <c r="R179" i="18" s="1"/>
  <c r="M41" i="18"/>
  <c r="N41" i="18" s="1"/>
  <c r="R41" i="18" s="1"/>
  <c r="M24" i="18"/>
  <c r="N24" i="18" s="1"/>
  <c r="R24" i="18" s="1"/>
  <c r="M202" i="18"/>
  <c r="N202" i="18" s="1"/>
  <c r="R202" i="18" s="1"/>
  <c r="M22" i="18"/>
  <c r="N22" i="18" s="1"/>
  <c r="R22" i="18" s="1"/>
  <c r="M116" i="18"/>
  <c r="N116" i="18" s="1"/>
  <c r="R116" i="18" s="1"/>
  <c r="M103" i="18"/>
  <c r="N103" i="18" s="1"/>
  <c r="R103" i="18" s="1"/>
  <c r="M133" i="18"/>
  <c r="N133" i="18" s="1"/>
  <c r="R133" i="18" s="1"/>
  <c r="M75" i="18"/>
  <c r="N75" i="18" s="1"/>
  <c r="R75" i="18" s="1"/>
  <c r="M147" i="18"/>
  <c r="N147" i="18" s="1"/>
  <c r="R147" i="18" s="1"/>
  <c r="M85" i="18"/>
  <c r="N85" i="18" s="1"/>
  <c r="R85" i="18" s="1"/>
  <c r="M122" i="18"/>
  <c r="N122" i="18" s="1"/>
  <c r="R122" i="18" s="1"/>
  <c r="M208" i="18"/>
  <c r="N208" i="18" s="1"/>
  <c r="R208" i="18" s="1"/>
  <c r="M59" i="18"/>
  <c r="N59" i="18" s="1"/>
  <c r="R59" i="18" s="1"/>
  <c r="M191" i="18"/>
  <c r="N191" i="18" s="1"/>
  <c r="R191" i="18" s="1"/>
  <c r="M138" i="18"/>
  <c r="N138" i="18" s="1"/>
  <c r="R138" i="18" s="1"/>
  <c r="M203" i="18"/>
  <c r="N203" i="18" s="1"/>
  <c r="R203" i="18" s="1"/>
  <c r="M165" i="18"/>
  <c r="N165" i="18" s="1"/>
  <c r="R165" i="18" s="1"/>
  <c r="M83" i="18"/>
  <c r="N83" i="18" s="1"/>
  <c r="R83" i="18" s="1"/>
  <c r="M81" i="18"/>
  <c r="N81" i="18" s="1"/>
  <c r="R81" i="18" s="1"/>
  <c r="M142" i="18"/>
  <c r="N142" i="18" s="1"/>
  <c r="R142" i="18" s="1"/>
  <c r="M38" i="18"/>
  <c r="N38" i="18" s="1"/>
  <c r="R38" i="18" s="1"/>
  <c r="M66" i="18"/>
  <c r="N66" i="18" s="1"/>
  <c r="R66" i="18" s="1"/>
  <c r="M42" i="18"/>
  <c r="N42" i="18" s="1"/>
  <c r="R42" i="18" s="1"/>
  <c r="M180" i="18"/>
  <c r="N180" i="18" s="1"/>
  <c r="R180" i="18" s="1"/>
  <c r="M160" i="18"/>
  <c r="N160" i="18" s="1"/>
  <c r="R160" i="18" s="1"/>
  <c r="M97" i="18"/>
  <c r="N97" i="18" s="1"/>
  <c r="R97" i="18" s="1"/>
  <c r="M78" i="18"/>
  <c r="N78" i="18" s="1"/>
  <c r="R78" i="18" s="1"/>
  <c r="M172" i="18"/>
  <c r="N172" i="18" s="1"/>
  <c r="R172" i="18" s="1"/>
  <c r="M99" i="18"/>
  <c r="N99" i="18" s="1"/>
  <c r="R99" i="18" s="1"/>
  <c r="M181" i="18"/>
  <c r="N181" i="18" s="1"/>
  <c r="R181" i="18" s="1"/>
  <c r="M187" i="18"/>
  <c r="N187" i="18" s="1"/>
  <c r="R187" i="18" s="1"/>
  <c r="M74" i="18"/>
  <c r="N74" i="18" s="1"/>
  <c r="R74" i="18" s="1"/>
  <c r="M190" i="18"/>
  <c r="N190" i="18" s="1"/>
  <c r="R190" i="18" s="1"/>
  <c r="M94" i="18"/>
  <c r="N94" i="18" s="1"/>
  <c r="R94" i="18" s="1"/>
  <c r="M61" i="18"/>
  <c r="N61" i="18" s="1"/>
  <c r="R61" i="18" s="1"/>
  <c r="M105" i="18"/>
  <c r="N105" i="18" s="1"/>
  <c r="R105" i="18" s="1"/>
  <c r="M49" i="18"/>
  <c r="N49" i="18" s="1"/>
  <c r="R49" i="18" s="1"/>
  <c r="M173" i="18"/>
  <c r="N173" i="18" s="1"/>
  <c r="R173" i="18" s="1"/>
  <c r="M170" i="18"/>
  <c r="N170" i="18" s="1"/>
  <c r="R170" i="18" s="1"/>
  <c r="M120" i="18"/>
  <c r="N120" i="18" s="1"/>
  <c r="R120" i="18" s="1"/>
  <c r="M166" i="18"/>
  <c r="N166" i="18" s="1"/>
  <c r="R166" i="18" s="1"/>
  <c r="M177" i="18"/>
  <c r="N177" i="18" s="1"/>
  <c r="R177" i="18" s="1"/>
  <c r="M93" i="18"/>
  <c r="N93" i="18" s="1"/>
  <c r="R93" i="18" s="1"/>
  <c r="M77" i="18"/>
  <c r="N77" i="18" s="1"/>
  <c r="R77" i="18" s="1"/>
  <c r="M169" i="18"/>
  <c r="N169" i="18" s="1"/>
  <c r="R169" i="18" s="1"/>
  <c r="M159" i="18"/>
  <c r="N159" i="18" s="1"/>
  <c r="R159" i="18" s="1"/>
  <c r="M157" i="18"/>
  <c r="N157" i="18" s="1"/>
  <c r="R157" i="18" s="1"/>
  <c r="M51" i="18"/>
  <c r="N51" i="18" s="1"/>
  <c r="R51" i="18" s="1"/>
  <c r="M145" i="18"/>
  <c r="N145" i="18" s="1"/>
  <c r="R145" i="18" s="1"/>
  <c r="M125" i="18"/>
  <c r="N125" i="18" s="1"/>
  <c r="R125" i="18" s="1"/>
  <c r="M35" i="18"/>
  <c r="N35" i="18" s="1"/>
  <c r="R35" i="18" s="1"/>
  <c r="M153" i="18"/>
  <c r="N153" i="18" s="1"/>
  <c r="R153" i="18" s="1"/>
  <c r="M201" i="18"/>
  <c r="N201" i="18" s="1"/>
  <c r="R201" i="18" s="1"/>
  <c r="M86" i="18"/>
  <c r="N86" i="18" s="1"/>
  <c r="R86" i="18" s="1"/>
  <c r="M126" i="18"/>
  <c r="N126" i="18" s="1"/>
  <c r="R126" i="18" s="1"/>
  <c r="M200" i="18"/>
  <c r="N200" i="18" s="1"/>
  <c r="R200" i="18" s="1"/>
  <c r="M121" i="18"/>
  <c r="N121" i="18" s="1"/>
  <c r="R121" i="18" s="1"/>
  <c r="M95" i="18"/>
  <c r="N95" i="18" s="1"/>
  <c r="R95" i="18" s="1"/>
  <c r="M40" i="18"/>
  <c r="N40" i="18" s="1"/>
  <c r="R40" i="18" s="1"/>
  <c r="M36" i="18"/>
  <c r="N36" i="18" s="1"/>
  <c r="R36" i="18" s="1"/>
  <c r="M96" i="18"/>
  <c r="N96" i="18" s="1"/>
  <c r="R96" i="18" s="1"/>
  <c r="M205" i="18"/>
  <c r="N205" i="18" s="1"/>
  <c r="R205" i="18" s="1"/>
  <c r="M84" i="18"/>
  <c r="N84" i="18" s="1"/>
  <c r="R84" i="18" s="1"/>
  <c r="M115" i="18"/>
  <c r="N115" i="18" s="1"/>
  <c r="R115" i="18" s="1"/>
  <c r="M128" i="18"/>
  <c r="N128" i="18" s="1"/>
  <c r="R128" i="18" s="1"/>
  <c r="M64" i="18"/>
  <c r="N64" i="18" s="1"/>
  <c r="R64" i="18" s="1"/>
  <c r="M92" i="18"/>
  <c r="N92" i="18" s="1"/>
  <c r="R92" i="18" s="1"/>
  <c r="M106" i="18"/>
  <c r="N106" i="18" s="1"/>
  <c r="R106" i="18" s="1"/>
  <c r="M89" i="18"/>
  <c r="N89" i="18" s="1"/>
  <c r="R89" i="18" s="1"/>
  <c r="M118" i="18"/>
  <c r="N118" i="18" s="1"/>
  <c r="R118" i="18" s="1"/>
  <c r="M39" i="18"/>
  <c r="N39" i="18" s="1"/>
  <c r="R39" i="18" s="1"/>
  <c r="M154" i="18"/>
  <c r="N154" i="18" s="1"/>
  <c r="R154" i="18" s="1"/>
  <c r="M149" i="18"/>
  <c r="N149" i="18" s="1"/>
  <c r="R149" i="18" s="1"/>
  <c r="M198" i="18"/>
  <c r="N198" i="18" s="1"/>
  <c r="R198" i="18" s="1"/>
  <c r="M207" i="18"/>
  <c r="N207" i="18" s="1"/>
  <c r="R207" i="18" s="1"/>
  <c r="M101" i="18"/>
  <c r="N101" i="18" s="1"/>
  <c r="R101" i="18" s="1"/>
  <c r="M57" i="18"/>
  <c r="N57" i="18" s="1"/>
  <c r="R57" i="18" s="1"/>
  <c r="M171" i="18"/>
  <c r="N171" i="18" s="1"/>
  <c r="R171" i="18" s="1"/>
  <c r="M131" i="18"/>
  <c r="N131" i="18" s="1"/>
  <c r="R131" i="18" s="1"/>
  <c r="M108" i="18"/>
  <c r="N108" i="18" s="1"/>
  <c r="R108" i="18" s="1"/>
  <c r="M88" i="18"/>
  <c r="N88" i="18" s="1"/>
  <c r="R88" i="18" s="1"/>
  <c r="M90" i="18"/>
  <c r="N90" i="18" s="1"/>
  <c r="R90" i="18" s="1"/>
  <c r="M174" i="18"/>
  <c r="N174" i="18" s="1"/>
  <c r="R174" i="18" s="1"/>
  <c r="M65" i="18"/>
  <c r="N65" i="18" s="1"/>
  <c r="R65" i="18" s="1"/>
  <c r="M76" i="18"/>
  <c r="N76" i="18" s="1"/>
  <c r="R76" i="18" s="1"/>
  <c r="M53" i="18"/>
  <c r="N53" i="18" s="1"/>
  <c r="R53" i="18" s="1"/>
  <c r="M68" i="18"/>
  <c r="N68" i="18" s="1"/>
  <c r="R68" i="18" s="1"/>
  <c r="M199" i="18"/>
  <c r="N199" i="18" s="1"/>
  <c r="R199" i="18" s="1"/>
  <c r="M13" i="18" l="1"/>
  <c r="N56" i="18"/>
  <c r="N20" i="18"/>
  <c r="M212" i="18"/>
  <c r="R20" i="18" l="1"/>
  <c r="N14" i="18"/>
  <c r="R56" i="18"/>
  <c r="R13" i="18" s="1"/>
  <c r="N13" i="18"/>
  <c r="R14" i="18" l="1"/>
  <c r="R212" i="1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rlp</author>
  </authors>
  <commentList>
    <comment ref="J2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True-Up ATRR and rate from current year's (t=0) update.
</t>
        </r>
      </text>
    </comment>
    <comment ref="K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3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5" authorId="0" shapeId="0" xr:uid="{00000000-0006-0000-0300-000004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K6" authorId="0" shapeId="0" xr:uid="{00000000-0006-0000-0300-000005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Sched 9 ATRR and rate (rpojected) from prev year's template (t-1)</t>
        </r>
      </text>
    </comment>
    <comment ref="J19" authorId="0" shapeId="0" xr:uid="{00000000-0006-0000-0300-000006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Actual Charge based on after the fact "True-Up" rate for entire prior CY.</t>
        </r>
      </text>
    </comment>
    <comment ref="K19" authorId="0" shapeId="0" xr:uid="{00000000-0006-0000-0300-000007000000}">
      <text>
        <r>
          <rPr>
            <b/>
            <sz val="8"/>
            <color indexed="81"/>
            <rFont val="Tahoma"/>
            <family val="2"/>
          </rPr>
          <t>rlp:</t>
        </r>
        <r>
          <rPr>
            <sz val="8"/>
            <color indexed="81"/>
            <rFont val="Tahoma"/>
            <family val="2"/>
          </rPr>
          <t xml:space="preserve">
Amount charged during the Rate Year based on projected rates.</t>
        </r>
      </text>
    </comment>
  </commentList>
</comments>
</file>

<file path=xl/sharedStrings.xml><?xml version="1.0" encoding="utf-8"?>
<sst xmlns="http://schemas.openxmlformats.org/spreadsheetml/2006/main" count="441" uniqueCount="104">
  <si>
    <t>Customer</t>
  </si>
  <si>
    <t>MW</t>
  </si>
  <si>
    <t>Total True-up</t>
  </si>
  <si>
    <t>True-Up w/o Interest</t>
  </si>
  <si>
    <t>Billing
Date*</t>
  </si>
  <si>
    <t>Payment Received*</t>
  </si>
  <si>
    <t>Annual RR</t>
  </si>
  <si>
    <t>Interest</t>
  </si>
  <si>
    <t>OMPA</t>
  </si>
  <si>
    <t>WFEC</t>
  </si>
  <si>
    <t>Monthly Rate</t>
  </si>
  <si>
    <t>True-up Values:  Surcharge / (Refund)</t>
  </si>
  <si>
    <t>Sched.</t>
  </si>
  <si>
    <t>ETEC</t>
  </si>
  <si>
    <t>AECC</t>
  </si>
  <si>
    <t>Greenbelt</t>
  </si>
  <si>
    <t>Lighthouse</t>
  </si>
  <si>
    <t>Coffeyville, KS</t>
  </si>
  <si>
    <t>Grand Total</t>
  </si>
  <si>
    <t>OG&amp;E</t>
  </si>
  <si>
    <t>AEP Revenue Adjustment</t>
  </si>
  <si>
    <t>PSO</t>
  </si>
  <si>
    <t>SWEPCO</t>
  </si>
  <si>
    <r>
      <t xml:space="preserve">NOTE:  </t>
    </r>
    <r>
      <rPr>
        <sz val="10"/>
        <rFont val="Arial"/>
        <family val="2"/>
      </rPr>
      <t>This is a normal part of the Annual True-up</t>
    </r>
  </si>
  <si>
    <t>Data</t>
  </si>
  <si>
    <t>Sum of True-Up w/o Interest</t>
  </si>
  <si>
    <t>Sum of Interest</t>
  </si>
  <si>
    <t>Sum of Total True-up</t>
  </si>
  <si>
    <t>Total Sum of True-Up w/o Interest</t>
  </si>
  <si>
    <t>Total Sum of Interest</t>
  </si>
  <si>
    <t>Total Sum of Total True-up</t>
  </si>
  <si>
    <t>(A)</t>
  </si>
  <si>
    <t>(B)</t>
  </si>
  <si>
    <t>(C)</t>
  </si>
  <si>
    <t>(D) = (B) - (C)</t>
  </si>
  <si>
    <t>(E)</t>
  </si>
  <si>
    <t>Network Customer True-Up (Schedule 9 charges)</t>
  </si>
  <si>
    <t>Projected</t>
  </si>
  <si>
    <r>
      <t xml:space="preserve">Projected </t>
    </r>
    <r>
      <rPr>
        <sz val="10"/>
        <rFont val="Arial Narrow"/>
        <family val="2"/>
      </rPr>
      <t>(Invoiced)</t>
    </r>
  </si>
  <si>
    <t xml:space="preserve">  ARR</t>
  </si>
  <si>
    <t xml:space="preserve">  Monthly Rates</t>
  </si>
  <si>
    <r>
      <t>Actual</t>
    </r>
    <r>
      <rPr>
        <sz val="10"/>
        <rFont val="Arial Narrow"/>
        <family val="2"/>
      </rPr>
      <t xml:space="preserve"> (True-Up)</t>
    </r>
  </si>
  <si>
    <r>
      <t xml:space="preserve">Actual </t>
    </r>
    <r>
      <rPr>
        <sz val="10"/>
        <rFont val="Arial Narrow"/>
        <family val="2"/>
      </rPr>
      <t>(True-Up)</t>
    </r>
  </si>
  <si>
    <t xml:space="preserve">    Non-Affiliate
    Subtotals</t>
  </si>
  <si>
    <t>TOTALS</t>
  </si>
  <si>
    <t>Comment</t>
  </si>
  <si>
    <t>Actual True-Up Rate</t>
  </si>
  <si>
    <t>Invoiced*** Charge (proj.)</t>
  </si>
  <si>
    <r>
      <t>Projected Rate</t>
    </r>
    <r>
      <rPr>
        <sz val="8"/>
        <rFont val="Arial"/>
        <family val="2"/>
      </rPr>
      <t xml:space="preserve"> (as Invoiced)</t>
    </r>
  </si>
  <si>
    <t>Sum of Invoiced*** Charge (proj.)</t>
  </si>
  <si>
    <t xml:space="preserve">  Customer</t>
  </si>
  <si>
    <t xml:space="preserve">    Affiliate
    Subtotals</t>
  </si>
  <si>
    <t>Customer True-Up for Amounts Billed</t>
  </si>
  <si>
    <t>Serivce Month</t>
  </si>
  <si>
    <t>Bentonville, AR</t>
  </si>
  <si>
    <t>Prescott, AR</t>
  </si>
  <si>
    <t>Minden, LA</t>
  </si>
  <si>
    <t>Hope, AR</t>
  </si>
  <si>
    <t>3rd Party Totals</t>
  </si>
  <si>
    <t>SPP Zone1 Totals (incl. PSO/SWE)</t>
  </si>
  <si>
    <t>Surcharge / (Refund)</t>
  </si>
  <si>
    <t>Total Sum of Invoiced*** Charge (proj.)</t>
  </si>
  <si>
    <r>
      <t xml:space="preserve">*** </t>
    </r>
    <r>
      <rPr>
        <sz val="8"/>
        <rFont val="Arial"/>
        <family val="2"/>
      </rPr>
      <t>Invoiced Charge reflects any subsequent routine invoice corrections by SPP.</t>
    </r>
  </si>
  <si>
    <t>Instructions</t>
  </si>
  <si>
    <r>
      <t>Roll Date: input trueup year in cell=</t>
    </r>
    <r>
      <rPr>
        <b/>
        <i/>
        <sz val="10"/>
        <rFont val="Arial"/>
        <family val="2"/>
      </rPr>
      <t>Transactions!N1</t>
    </r>
  </si>
  <si>
    <t>Update Prime Rates data:  see Prime-Rates tab</t>
  </si>
  <si>
    <r>
      <t>Verify Refund Date:  verify and change (if needed) Refund Date celll=</t>
    </r>
    <r>
      <rPr>
        <b/>
        <i/>
        <sz val="10"/>
        <rFont val="Arial"/>
        <family val="2"/>
      </rPr>
      <t>Transactions!W8</t>
    </r>
  </si>
  <si>
    <t>Billing/Pmt Rec'd Dates:  Verify these dates (currently set to formulaicly update relative to trueup year)</t>
  </si>
  <si>
    <t>Update SPP Zone1 NITS Customer list &amp; formulas (if needed): look at LoadWS in main template &amp; also check w/Load Settlements.</t>
  </si>
  <si>
    <t>Update invoiced Load values per month per customer (from LoadWS in main template) (transpose)</t>
  </si>
  <si>
    <t>Sum of True-Up Charge</t>
  </si>
  <si>
    <t>Total Sum of True-Up Charge</t>
  </si>
  <si>
    <r>
      <t xml:space="preserve">Refresh Pivot Table in </t>
    </r>
    <r>
      <rPr>
        <b/>
        <sz val="10"/>
        <rFont val="Arial"/>
        <family val="2"/>
      </rPr>
      <t>tab=PIVOT</t>
    </r>
  </si>
  <si>
    <t>NOTE:  Be aware that title changes to a Transaction tab column summarized in the pivot table cause such column to be dropped form the pivot table when it is refreshed.</t>
  </si>
  <si>
    <t>NOTE:  In that instance, manually update the LAYOUT of the pivot table to re-summarize the column that encountered a title change.</t>
  </si>
  <si>
    <t>NOTE:  The SUMMARY table in that tab contains GETPIVOTDATA functions that should still work as they reference tltle cells in Transactions tab.</t>
  </si>
  <si>
    <t>Update Rate Summary tab. (very manual process).</t>
  </si>
  <si>
    <t xml:space="preserve">            as contemplated in the AEP Formula Rate Protocols.</t>
  </si>
  <si>
    <t>NOTE:  "Rate Summary" tab is usually "walked-through" during customer meeting but not printed.</t>
  </si>
  <si>
    <t>NOTE:  Print to PDF the "Summary" tab as a supplement for customer Mtg handout and published PDFs.</t>
  </si>
  <si>
    <r>
      <t>Input Sched 9 ATRRs &amp; rates from prior 2 update's (projected) and this year's update (trueup)=</t>
    </r>
    <r>
      <rPr>
        <b/>
        <i/>
        <sz val="10"/>
        <rFont val="Arial"/>
        <family val="2"/>
      </rPr>
      <t>Transactions!J2:K8</t>
    </r>
  </si>
  <si>
    <t>SWEPCO-Valley</t>
  </si>
  <si>
    <t>* SPP bills customer on third business day, AEP receives on 24th or next business day.</t>
  </si>
  <si>
    <t>AECI</t>
  </si>
  <si>
    <t>Tax Rebilling Rate</t>
  </si>
  <si>
    <t>Tax True Up Billing</t>
  </si>
  <si>
    <t>Tax True Up</t>
  </si>
  <si>
    <t>Sum of Tax True Up Billing</t>
  </si>
  <si>
    <t>Total Sum of Tax True Up Billing</t>
  </si>
  <si>
    <t>Sum of Tax True Up</t>
  </si>
  <si>
    <t>Total Sum of Tax True Up</t>
  </si>
  <si>
    <t>(G) = (D) + (E) - (F)</t>
  </si>
  <si>
    <t>(G)</t>
  </si>
  <si>
    <t>January - December</t>
  </si>
  <si>
    <t>PUBLIC SERVICE COMPANY of OKLAHOMA &amp; SOUTHWESTERN ELECTRIC POWER</t>
  </si>
  <si>
    <t>AEPTCo Formula Rate -- FERC Docket ER18-195</t>
  </si>
  <si>
    <t>Total</t>
  </si>
  <si>
    <t>2021 Load Share</t>
  </si>
  <si>
    <t>2025 True Up Including Interest</t>
  </si>
  <si>
    <r>
      <t>2025 True-Up
(</t>
    </r>
    <r>
      <rPr>
        <sz val="10"/>
        <rFont val="Arial"/>
        <family val="2"/>
      </rPr>
      <t>w/o Interest)</t>
    </r>
  </si>
  <si>
    <t>2025 Interest</t>
  </si>
  <si>
    <t>Total 2025
True-Up Surcharge / (Refund)</t>
  </si>
  <si>
    <t>2025 NOLC FERC Order Refund Amount with Interest (NITS)</t>
  </si>
  <si>
    <t>2025 NOLC FERC Order Refund with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</si>
</sst>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&quot;$&quot;* #,##0_);_(&quot;$&quot;* \(#,##0\);_(&quot;$&quot;* &quot;-&quot;??_);_(@_)"/>
    <numFmt numFmtId="166" formatCode="_(* #,##0_);_(* \(#,##0\);_(* &quot;-&quot;??_);_(@_)"/>
    <numFmt numFmtId="167" formatCode="&quot;$&quot;#,##0"/>
    <numFmt numFmtId="168" formatCode="0.0%"/>
  </numFmts>
  <fonts count="25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8"/>
      <color indexed="12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8"/>
      <name val="Arial"/>
      <family val="2"/>
    </font>
    <font>
      <i/>
      <sz val="9"/>
      <color indexed="10"/>
      <name val="Arial"/>
      <family val="2"/>
    </font>
    <font>
      <b/>
      <sz val="10"/>
      <color indexed="12"/>
      <name val="Arial"/>
      <family val="2"/>
    </font>
    <font>
      <b/>
      <i/>
      <sz val="10"/>
      <name val="Arial"/>
      <family val="2"/>
    </font>
    <font>
      <sz val="10"/>
      <color rgb="FF0000FF"/>
      <name val="Arial"/>
      <family val="2"/>
    </font>
    <font>
      <sz val="8"/>
      <color rgb="FF0066FF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CCFFCC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3">
    <xf numFmtId="0" fontId="0" fillId="0" borderId="0" xfId="0"/>
    <xf numFmtId="0" fontId="0" fillId="0" borderId="0" xfId="0" quotePrefix="1" applyAlignment="1">
      <alignment horizontal="left"/>
    </xf>
    <xf numFmtId="0" fontId="2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23" fillId="6" borderId="0" xfId="0" applyFont="1" applyFill="1"/>
    <xf numFmtId="0" fontId="2" fillId="2" borderId="0" xfId="0" quotePrefix="1" applyFont="1" applyFill="1" applyAlignment="1">
      <alignment horizontal="left"/>
    </xf>
    <xf numFmtId="0" fontId="0" fillId="2" borderId="0" xfId="0" applyFill="1"/>
    <xf numFmtId="0" fontId="10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16" fillId="0" borderId="1" xfId="0" quotePrefix="1" applyFont="1" applyBorder="1" applyAlignment="1">
      <alignment horizontal="center" vertical="center"/>
    </xf>
    <xf numFmtId="0" fontId="15" fillId="0" borderId="2" xfId="0" quotePrefix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5" fillId="0" borderId="4" xfId="0" quotePrefix="1" applyFont="1" applyBorder="1" applyAlignment="1">
      <alignment horizontal="right"/>
    </xf>
    <xf numFmtId="0" fontId="15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centerContinuous"/>
    </xf>
    <xf numFmtId="0" fontId="14" fillId="0" borderId="5" xfId="0" applyFont="1" applyBorder="1" applyAlignment="1">
      <alignment horizontal="center" vertical="center" wrapText="1"/>
    </xf>
    <xf numFmtId="0" fontId="14" fillId="0" borderId="0" xfId="0" quotePrefix="1" applyFont="1" applyAlignment="1">
      <alignment horizontal="center" vertical="center" wrapText="1"/>
    </xf>
    <xf numFmtId="0" fontId="14" fillId="0" borderId="6" xfId="0" quotePrefix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5" fillId="0" borderId="2" xfId="0" quotePrefix="1" applyFont="1" applyBorder="1" applyAlignment="1">
      <alignment horizontal="left" vertical="center"/>
    </xf>
    <xf numFmtId="0" fontId="15" fillId="0" borderId="3" xfId="0" quotePrefix="1" applyFont="1" applyBorder="1" applyAlignment="1">
      <alignment horizontal="left" vertical="center"/>
    </xf>
    <xf numFmtId="16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67" fontId="13" fillId="0" borderId="4" xfId="0" applyNumberFormat="1" applyFont="1" applyBorder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vertical="center"/>
    </xf>
    <xf numFmtId="0" fontId="15" fillId="0" borderId="8" xfId="0" quotePrefix="1" applyFont="1" applyBorder="1" applyAlignment="1">
      <alignment horizontal="left" vertical="center"/>
    </xf>
    <xf numFmtId="0" fontId="12" fillId="0" borderId="8" xfId="0" quotePrefix="1" applyFont="1" applyBorder="1" applyAlignment="1">
      <alignment horizontal="center" vertical="center"/>
    </xf>
    <xf numFmtId="167" fontId="13" fillId="0" borderId="8" xfId="0" quotePrefix="1" applyNumberFormat="1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5" fillId="0" borderId="10" xfId="0" quotePrefix="1" applyFont="1" applyBorder="1" applyAlignment="1">
      <alignment horizontal="left" vertical="center"/>
    </xf>
    <xf numFmtId="0" fontId="15" fillId="0" borderId="0" xfId="0" quotePrefix="1" applyFont="1" applyAlignment="1">
      <alignment horizontal="left" vertical="center"/>
    </xf>
    <xf numFmtId="164" fontId="13" fillId="0" borderId="0" xfId="0" quotePrefix="1" applyNumberFormat="1" applyFont="1" applyAlignment="1">
      <alignment horizontal="center" vertical="center" wrapText="1"/>
    </xf>
    <xf numFmtId="164" fontId="13" fillId="0" borderId="11" xfId="0" quotePrefix="1" applyNumberFormat="1" applyFont="1" applyBorder="1" applyAlignment="1">
      <alignment horizontal="center" vertical="center"/>
    </xf>
    <xf numFmtId="164" fontId="13" fillId="0" borderId="0" xfId="0" quotePrefix="1" applyNumberFormat="1" applyFont="1" applyAlignment="1">
      <alignment horizontal="center" vertical="center"/>
    </xf>
    <xf numFmtId="0" fontId="15" fillId="0" borderId="5" xfId="0" applyFont="1" applyBorder="1" applyAlignment="1">
      <alignment vertical="center"/>
    </xf>
    <xf numFmtId="0" fontId="15" fillId="0" borderId="1" xfId="0" quotePrefix="1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64" fontId="1" fillId="0" borderId="1" xfId="0" quotePrefix="1" applyNumberFormat="1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4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2" applyNumberFormat="1" applyFont="1" applyBorder="1" applyProtection="1"/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3" fillId="0" borderId="12" xfId="0" quotePrefix="1" applyFont="1" applyBorder="1" applyAlignment="1">
      <alignment horizontal="left" vertical="center" wrapText="1"/>
    </xf>
    <xf numFmtId="0" fontId="3" fillId="0" borderId="13" xfId="0" quotePrefix="1" applyFont="1" applyBorder="1" applyAlignment="1">
      <alignment horizontal="center" vertical="center" wrapText="1"/>
    </xf>
    <xf numFmtId="0" fontId="3" fillId="0" borderId="14" xfId="0" quotePrefix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quotePrefix="1" applyFont="1" applyBorder="1" applyAlignment="1">
      <alignment horizontal="center" vertical="center" wrapText="1"/>
    </xf>
    <xf numFmtId="165" fontId="0" fillId="0" borderId="0" xfId="0" applyNumberFormat="1"/>
    <xf numFmtId="0" fontId="0" fillId="0" borderId="10" xfId="0" applyBorder="1"/>
    <xf numFmtId="165" fontId="0" fillId="0" borderId="17" xfId="2" applyNumberFormat="1" applyFont="1" applyBorder="1" applyProtection="1"/>
    <xf numFmtId="165" fontId="0" fillId="0" borderId="18" xfId="2" applyNumberFormat="1" applyFont="1" applyBorder="1" applyProtection="1"/>
    <xf numFmtId="0" fontId="0" fillId="0" borderId="10" xfId="0" quotePrefix="1" applyBorder="1" applyAlignment="1">
      <alignment horizontal="left"/>
    </xf>
    <xf numFmtId="43" fontId="0" fillId="0" borderId="0" xfId="0" applyNumberFormat="1"/>
    <xf numFmtId="0" fontId="0" fillId="0" borderId="20" xfId="0" applyBorder="1"/>
    <xf numFmtId="0" fontId="9" fillId="3" borderId="21" xfId="0" quotePrefix="1" applyFont="1" applyFill="1" applyBorder="1" applyAlignment="1">
      <alignment horizontal="left" vertical="center" wrapText="1"/>
    </xf>
    <xf numFmtId="165" fontId="0" fillId="3" borderId="22" xfId="2" applyNumberFormat="1" applyFont="1" applyFill="1" applyBorder="1" applyAlignment="1" applyProtection="1">
      <alignment vertical="center"/>
    </xf>
    <xf numFmtId="165" fontId="0" fillId="3" borderId="23" xfId="2" applyNumberFormat="1" applyFont="1" applyFill="1" applyBorder="1" applyAlignment="1" applyProtection="1">
      <alignment vertical="center"/>
    </xf>
    <xf numFmtId="165" fontId="3" fillId="3" borderId="24" xfId="2" applyNumberFormat="1" applyFont="1" applyFill="1" applyBorder="1" applyAlignment="1" applyProtection="1">
      <alignment vertical="center"/>
    </xf>
    <xf numFmtId="0" fontId="0" fillId="0" borderId="26" xfId="0" quotePrefix="1" applyBorder="1" applyAlignment="1">
      <alignment horizontal="left"/>
    </xf>
    <xf numFmtId="0" fontId="0" fillId="0" borderId="19" xfId="0" applyBorder="1"/>
    <xf numFmtId="0" fontId="0" fillId="0" borderId="27" xfId="0" applyBorder="1"/>
    <xf numFmtId="0" fontId="9" fillId="0" borderId="21" xfId="0" quotePrefix="1" applyFont="1" applyBorder="1" applyAlignment="1">
      <alignment horizontal="left" vertical="center" wrapText="1"/>
    </xf>
    <xf numFmtId="165" fontId="0" fillId="0" borderId="22" xfId="2" applyNumberFormat="1" applyFont="1" applyFill="1" applyBorder="1" applyAlignment="1" applyProtection="1">
      <alignment vertical="center"/>
    </xf>
    <xf numFmtId="165" fontId="0" fillId="0" borderId="23" xfId="2" applyNumberFormat="1" applyFont="1" applyFill="1" applyBorder="1" applyAlignment="1" applyProtection="1">
      <alignment vertical="center"/>
    </xf>
    <xf numFmtId="165" fontId="3" fillId="0" borderId="24" xfId="2" applyNumberFormat="1" applyFont="1" applyFill="1" applyBorder="1" applyAlignment="1" applyProtection="1">
      <alignment vertical="center"/>
    </xf>
    <xf numFmtId="166" fontId="0" fillId="0" borderId="0" xfId="1" applyNumberFormat="1" applyFont="1" applyProtection="1"/>
    <xf numFmtId="0" fontId="9" fillId="0" borderId="5" xfId="0" quotePrefix="1" applyFont="1" applyBorder="1" applyAlignment="1">
      <alignment horizontal="center" vertical="center" wrapText="1"/>
    </xf>
    <xf numFmtId="165" fontId="0" fillId="0" borderId="28" xfId="2" applyNumberFormat="1" applyFont="1" applyBorder="1" applyAlignment="1" applyProtection="1">
      <alignment vertical="center"/>
    </xf>
    <xf numFmtId="165" fontId="0" fillId="0" borderId="29" xfId="2" applyNumberFormat="1" applyFont="1" applyBorder="1" applyAlignment="1" applyProtection="1">
      <alignment vertical="center"/>
    </xf>
    <xf numFmtId="165" fontId="0" fillId="0" borderId="30" xfId="2" applyNumberFormat="1" applyFont="1" applyBorder="1" applyAlignment="1" applyProtection="1">
      <alignment vertical="center"/>
    </xf>
    <xf numFmtId="165" fontId="0" fillId="0" borderId="31" xfId="2" applyNumberFormat="1" applyFont="1" applyBorder="1" applyAlignment="1" applyProtection="1">
      <alignment vertical="center"/>
    </xf>
    <xf numFmtId="166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164" fontId="4" fillId="0" borderId="3" xfId="0" applyNumberFormat="1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164" fontId="9" fillId="0" borderId="14" xfId="0" applyNumberFormat="1" applyFont="1" applyBorder="1" applyAlignment="1">
      <alignment horizontal="center" wrapText="1"/>
    </xf>
    <xf numFmtId="164" fontId="4" fillId="0" borderId="14" xfId="0" applyNumberFormat="1" applyFont="1" applyBorder="1" applyAlignment="1">
      <alignment horizontal="center" wrapText="1"/>
    </xf>
    <xf numFmtId="0" fontId="0" fillId="0" borderId="16" xfId="0" applyBorder="1"/>
    <xf numFmtId="0" fontId="21" fillId="6" borderId="0" xfId="0" applyFont="1" applyFill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  <xf numFmtId="167" fontId="7" fillId="6" borderId="0" xfId="0" applyNumberFormat="1" applyFont="1" applyFill="1" applyAlignment="1">
      <alignment horizontal="right"/>
    </xf>
    <xf numFmtId="10" fontId="24" fillId="0" borderId="0" xfId="4" quotePrefix="1" applyNumberFormat="1" applyFont="1" applyBorder="1" applyAlignment="1" applyProtection="1">
      <alignment horizontal="left"/>
    </xf>
    <xf numFmtId="0" fontId="0" fillId="0" borderId="11" xfId="0" applyBorder="1"/>
    <xf numFmtId="164" fontId="7" fillId="6" borderId="0" xfId="0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0" fillId="0" borderId="11" xfId="0" applyBorder="1" applyAlignment="1">
      <alignment horizontal="center"/>
    </xf>
    <xf numFmtId="168" fontId="0" fillId="0" borderId="11" xfId="4" applyNumberFormat="1" applyFont="1" applyBorder="1" applyAlignment="1" applyProtection="1">
      <alignment horizontal="center"/>
    </xf>
    <xf numFmtId="168" fontId="0" fillId="0" borderId="0" xfId="4" applyNumberFormat="1" applyFont="1" applyBorder="1" applyAlignment="1" applyProtection="1">
      <alignment horizontal="center"/>
    </xf>
    <xf numFmtId="0" fontId="0" fillId="0" borderId="32" xfId="0" applyBorder="1"/>
    <xf numFmtId="164" fontId="4" fillId="0" borderId="10" xfId="0" applyNumberFormat="1" applyFont="1" applyBorder="1" applyAlignment="1">
      <alignment horizontal="center"/>
    </xf>
    <xf numFmtId="0" fontId="0" fillId="0" borderId="0" xfId="0" applyAlignment="1">
      <alignment horizontal="centerContinuous"/>
    </xf>
    <xf numFmtId="164" fontId="19" fillId="0" borderId="0" xfId="0" applyNumberFormat="1" applyFont="1" applyAlignment="1">
      <alignment horizontal="center" wrapText="1"/>
    </xf>
    <xf numFmtId="164" fontId="4" fillId="0" borderId="0" xfId="0" quotePrefix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167" fontId="1" fillId="0" borderId="0" xfId="0" applyNumberFormat="1" applyFont="1" applyAlignment="1">
      <alignment horizontal="right"/>
    </xf>
    <xf numFmtId="168" fontId="0" fillId="0" borderId="11" xfId="0" applyNumberFormat="1" applyBorder="1"/>
    <xf numFmtId="168" fontId="0" fillId="0" borderId="0" xfId="0" applyNumberFormat="1"/>
    <xf numFmtId="164" fontId="1" fillId="0" borderId="0" xfId="0" applyNumberFormat="1" applyFont="1" applyAlignment="1">
      <alignment horizontal="right"/>
    </xf>
    <xf numFmtId="0" fontId="1" fillId="0" borderId="0" xfId="0" quotePrefix="1" applyFont="1" applyAlignment="1">
      <alignment horizontal="center"/>
    </xf>
    <xf numFmtId="0" fontId="3" fillId="0" borderId="0" xfId="0" applyFont="1" applyAlignment="1">
      <alignment horizontal="left"/>
    </xf>
    <xf numFmtId="164" fontId="20" fillId="0" borderId="0" xfId="0" quotePrefix="1" applyNumberFormat="1" applyFont="1" applyAlignment="1">
      <alignment horizontal="left"/>
    </xf>
    <xf numFmtId="0" fontId="0" fillId="0" borderId="0" xfId="0" quotePrefix="1" applyAlignment="1">
      <alignment horizontal="center"/>
    </xf>
    <xf numFmtId="164" fontId="6" fillId="0" borderId="0" xfId="0" applyNumberFormat="1" applyFont="1" applyAlignment="1">
      <alignment horizontal="left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164" fontId="20" fillId="0" borderId="1" xfId="0" quotePrefix="1" applyNumberFormat="1" applyFont="1" applyBorder="1" applyAlignment="1">
      <alignment horizontal="left"/>
    </xf>
    <xf numFmtId="164" fontId="1" fillId="0" borderId="1" xfId="0" applyNumberFormat="1" applyFont="1" applyBorder="1" applyAlignment="1">
      <alignment horizontal="right"/>
    </xf>
    <xf numFmtId="10" fontId="1" fillId="0" borderId="1" xfId="4" quotePrefix="1" applyNumberFormat="1" applyFont="1" applyFill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2" xfId="0" applyBorder="1" applyAlignment="1">
      <alignment horizontal="center"/>
    </xf>
    <xf numFmtId="0" fontId="11" fillId="0" borderId="0" xfId="0" quotePrefix="1" applyFont="1" applyAlignment="1">
      <alignment horizontal="left"/>
    </xf>
    <xf numFmtId="10" fontId="0" fillId="0" borderId="0" xfId="4" applyNumberFormat="1" applyFont="1" applyAlignment="1" applyProtection="1">
      <alignment horizontal="center"/>
    </xf>
    <xf numFmtId="0" fontId="0" fillId="0" borderId="32" xfId="0" quotePrefix="1" applyBorder="1" applyAlignment="1">
      <alignment horizontal="right"/>
    </xf>
    <xf numFmtId="0" fontId="0" fillId="0" borderId="23" xfId="0" applyBorder="1" applyAlignment="1">
      <alignment horizontal="center"/>
    </xf>
    <xf numFmtId="0" fontId="1" fillId="0" borderId="23" xfId="0" applyFont="1" applyBorder="1" applyAlignment="1">
      <alignment horizontal="center"/>
    </xf>
    <xf numFmtId="164" fontId="3" fillId="0" borderId="25" xfId="0" applyNumberFormat="1" applyFont="1" applyBorder="1" applyAlignment="1">
      <alignment horizontal="right"/>
    </xf>
    <xf numFmtId="167" fontId="0" fillId="0" borderId="23" xfId="0" applyNumberFormat="1" applyBorder="1" applyAlignment="1">
      <alignment horizontal="center"/>
    </xf>
    <xf numFmtId="167" fontId="0" fillId="4" borderId="25" xfId="0" applyNumberFormat="1" applyFill="1" applyBorder="1" applyAlignment="1">
      <alignment horizontal="center"/>
    </xf>
    <xf numFmtId="167" fontId="0" fillId="0" borderId="33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164" fontId="3" fillId="0" borderId="27" xfId="0" applyNumberFormat="1" applyFont="1" applyBorder="1" applyAlignment="1">
      <alignment horizontal="right"/>
    </xf>
    <xf numFmtId="14" fontId="1" fillId="0" borderId="17" xfId="0" quotePrefix="1" applyNumberFormat="1" applyFont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32" xfId="0" applyNumberFormat="1" applyFont="1" applyBorder="1" applyAlignment="1">
      <alignment horizontal="right"/>
    </xf>
    <xf numFmtId="0" fontId="1" fillId="0" borderId="0" xfId="0" quotePrefix="1" applyFont="1" applyAlignment="1">
      <alignment horizontal="left"/>
    </xf>
    <xf numFmtId="166" fontId="1" fillId="0" borderId="0" xfId="1" applyNumberFormat="1" applyFont="1" applyFill="1" applyAlignment="1" applyProtection="1">
      <alignment horizontal="right"/>
    </xf>
    <xf numFmtId="166" fontId="1" fillId="0" borderId="0" xfId="1" quotePrefix="1" applyNumberFormat="1" applyFont="1" applyFill="1" applyAlignment="1" applyProtection="1">
      <alignment horizontal="left"/>
    </xf>
    <xf numFmtId="164" fontId="5" fillId="0" borderId="32" xfId="0" applyNumberFormat="1" applyFont="1" applyBorder="1" applyAlignment="1">
      <alignment horizontal="center"/>
    </xf>
    <xf numFmtId="14" fontId="0" fillId="0" borderId="17" xfId="0" quotePrefix="1" applyNumberFormat="1" applyBorder="1" applyAlignment="1">
      <alignment horizontal="left"/>
    </xf>
    <xf numFmtId="44" fontId="5" fillId="0" borderId="0" xfId="2" applyFont="1" applyAlignment="1" applyProtection="1">
      <alignment horizontal="center"/>
    </xf>
    <xf numFmtId="9" fontId="1" fillId="0" borderId="0" xfId="4" applyFont="1" applyAlignment="1" applyProtection="1">
      <alignment horizontal="center"/>
    </xf>
    <xf numFmtId="44" fontId="5" fillId="0" borderId="32" xfId="2" applyFont="1" applyBorder="1" applyAlignment="1" applyProtection="1">
      <alignment horizontal="center"/>
    </xf>
    <xf numFmtId="165" fontId="1" fillId="0" borderId="0" xfId="2" applyNumberFormat="1" applyFont="1" applyAlignment="1" applyProtection="1">
      <alignment horizontal="center"/>
    </xf>
    <xf numFmtId="0" fontId="4" fillId="0" borderId="0" xfId="0" quotePrefix="1" applyFont="1" applyAlignment="1">
      <alignment horizontal="center"/>
    </xf>
    <xf numFmtId="0" fontId="4" fillId="0" borderId="34" xfId="0" quotePrefix="1" applyFont="1" applyBorder="1" applyAlignment="1">
      <alignment horizontal="center"/>
    </xf>
    <xf numFmtId="164" fontId="4" fillId="0" borderId="22" xfId="0" quotePrefix="1" applyNumberFormat="1" applyFont="1" applyBorder="1" applyAlignment="1">
      <alignment horizontal="center" vertical="center" wrapText="1"/>
    </xf>
    <xf numFmtId="0" fontId="4" fillId="0" borderId="23" xfId="0" quotePrefix="1" applyFont="1" applyBorder="1" applyAlignment="1">
      <alignment horizontal="center" vertical="center" wrapText="1"/>
    </xf>
    <xf numFmtId="164" fontId="4" fillId="5" borderId="23" xfId="0" quotePrefix="1" applyNumberFormat="1" applyFont="1" applyFill="1" applyBorder="1" applyAlignment="1">
      <alignment horizontal="center" vertical="center" wrapText="1"/>
    </xf>
    <xf numFmtId="164" fontId="4" fillId="0" borderId="23" xfId="0" applyNumberFormat="1" applyFont="1" applyBorder="1" applyAlignment="1">
      <alignment horizontal="center" vertical="center" wrapText="1"/>
    </xf>
    <xf numFmtId="164" fontId="4" fillId="0" borderId="33" xfId="0" applyNumberFormat="1" applyFont="1" applyBorder="1" applyAlignment="1">
      <alignment horizontal="center" vertical="center" wrapText="1"/>
    </xf>
    <xf numFmtId="164" fontId="4" fillId="0" borderId="34" xfId="0" applyNumberFormat="1" applyFont="1" applyBorder="1" applyAlignment="1">
      <alignment horizontal="center" vertical="center" wrapText="1"/>
    </xf>
    <xf numFmtId="164" fontId="4" fillId="0" borderId="27" xfId="0" applyNumberFormat="1" applyFont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14" fontId="7" fillId="2" borderId="0" xfId="0" applyNumberFormat="1" applyFont="1" applyFill="1" applyAlignment="1">
      <alignment horizontal="left"/>
    </xf>
    <xf numFmtId="1" fontId="8" fillId="6" borderId="0" xfId="0" applyNumberFormat="1" applyFont="1" applyFill="1" applyAlignment="1">
      <alignment horizontal="center"/>
    </xf>
    <xf numFmtId="164" fontId="6" fillId="0" borderId="0" xfId="0" applyNumberFormat="1" applyFont="1"/>
    <xf numFmtId="164" fontId="0" fillId="0" borderId="0" xfId="0" applyNumberFormat="1"/>
    <xf numFmtId="164" fontId="1" fillId="0" borderId="0" xfId="0" applyNumberFormat="1" applyFont="1"/>
    <xf numFmtId="164" fontId="0" fillId="0" borderId="19" xfId="0" applyNumberFormat="1" applyBorder="1" applyAlignment="1">
      <alignment horizontal="right"/>
    </xf>
    <xf numFmtId="14" fontId="0" fillId="0" borderId="0" xfId="0" quotePrefix="1" applyNumberFormat="1" applyAlignment="1">
      <alignment horizontal="left"/>
    </xf>
    <xf numFmtId="1" fontId="8" fillId="6" borderId="8" xfId="0" applyNumberFormat="1" applyFont="1" applyFill="1" applyBorder="1" applyAlignment="1">
      <alignment horizontal="center"/>
    </xf>
    <xf numFmtId="164" fontId="6" fillId="0" borderId="8" xfId="0" applyNumberFormat="1" applyFont="1" applyBorder="1"/>
    <xf numFmtId="164" fontId="1" fillId="0" borderId="8" xfId="0" applyNumberFormat="1" applyFont="1" applyBorder="1" applyAlignment="1">
      <alignment horizontal="right"/>
    </xf>
    <xf numFmtId="164" fontId="0" fillId="0" borderId="8" xfId="0" applyNumberFormat="1" applyBorder="1"/>
    <xf numFmtId="164" fontId="1" fillId="0" borderId="8" xfId="0" applyNumberFormat="1" applyFont="1" applyBorder="1"/>
    <xf numFmtId="17" fontId="0" fillId="0" borderId="35" xfId="0" applyNumberFormat="1" applyBorder="1" applyAlignment="1">
      <alignment horizontal="center"/>
    </xf>
    <xf numFmtId="14" fontId="1" fillId="0" borderId="35" xfId="0" applyNumberFormat="1" applyFont="1" applyBorder="1"/>
    <xf numFmtId="14" fontId="7" fillId="2" borderId="35" xfId="0" applyNumberFormat="1" applyFont="1" applyFill="1" applyBorder="1" applyAlignment="1">
      <alignment horizontal="left"/>
    </xf>
    <xf numFmtId="0" fontId="0" fillId="0" borderId="35" xfId="0" applyBorder="1" applyAlignment="1">
      <alignment horizontal="center"/>
    </xf>
    <xf numFmtId="14" fontId="1" fillId="0" borderId="0" xfId="0" applyNumberFormat="1" applyFont="1"/>
    <xf numFmtId="0" fontId="0" fillId="0" borderId="35" xfId="0" applyBorder="1"/>
    <xf numFmtId="17" fontId="0" fillId="0" borderId="8" xfId="0" applyNumberFormat="1" applyBorder="1" applyAlignment="1">
      <alignment horizontal="center"/>
    </xf>
    <xf numFmtId="0" fontId="0" fillId="0" borderId="8" xfId="0" quotePrefix="1" applyBorder="1" applyAlignment="1">
      <alignment horizontal="left"/>
    </xf>
    <xf numFmtId="0" fontId="0" fillId="0" borderId="8" xfId="0" applyBorder="1"/>
    <xf numFmtId="14" fontId="1" fillId="0" borderId="8" xfId="0" applyNumberFormat="1" applyFont="1" applyBorder="1"/>
    <xf numFmtId="14" fontId="0" fillId="0" borderId="8" xfId="0" quotePrefix="1" applyNumberFormat="1" applyBorder="1" applyAlignment="1">
      <alignment horizontal="left"/>
    </xf>
    <xf numFmtId="0" fontId="7" fillId="2" borderId="0" xfId="0" applyFont="1" applyFill="1" applyAlignment="1">
      <alignment horizontal="left"/>
    </xf>
    <xf numFmtId="0" fontId="1" fillId="0" borderId="0" xfId="0" applyFont="1" applyAlignment="1">
      <alignment horizontal="left"/>
    </xf>
    <xf numFmtId="0" fontId="1" fillId="0" borderId="8" xfId="0" applyFont="1" applyBorder="1" applyAlignment="1">
      <alignment horizontal="left"/>
    </xf>
    <xf numFmtId="1" fontId="0" fillId="0" borderId="0" xfId="0" applyNumberFormat="1" applyAlignment="1">
      <alignment horizontal="center"/>
    </xf>
    <xf numFmtId="164" fontId="0" fillId="0" borderId="19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167" fontId="7" fillId="6" borderId="25" xfId="0" applyNumberFormat="1" applyFont="1" applyFill="1" applyBorder="1" applyAlignment="1">
      <alignment horizontal="center"/>
    </xf>
    <xf numFmtId="164" fontId="0" fillId="0" borderId="27" xfId="0" applyNumberFormat="1" applyBorder="1" applyAlignment="1">
      <alignment horizontal="right"/>
    </xf>
    <xf numFmtId="164" fontId="4" fillId="0" borderId="14" xfId="0" quotePrefix="1" applyNumberFormat="1" applyFont="1" applyBorder="1" applyAlignment="1">
      <alignment horizontal="center" wrapText="1"/>
    </xf>
    <xf numFmtId="14" fontId="7" fillId="6" borderId="0" xfId="3" applyNumberFormat="1" applyFont="1" applyFill="1"/>
    <xf numFmtId="14" fontId="7" fillId="2" borderId="8" xfId="3" applyNumberFormat="1" applyFont="1" applyFill="1" applyBorder="1"/>
    <xf numFmtId="14" fontId="7" fillId="6" borderId="8" xfId="3" applyNumberFormat="1" applyFont="1" applyFill="1" applyBorder="1"/>
    <xf numFmtId="10" fontId="24" fillId="0" borderId="0" xfId="4" quotePrefix="1" applyNumberFormat="1" applyFont="1" applyFill="1" applyBorder="1" applyAlignment="1" applyProtection="1">
      <alignment horizontal="left"/>
    </xf>
    <xf numFmtId="164" fontId="4" fillId="0" borderId="23" xfId="0" quotePrefix="1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4" fillId="0" borderId="23" xfId="0" quotePrefix="1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1" fillId="0" borderId="0" xfId="5"/>
    <xf numFmtId="37" fontId="0" fillId="0" borderId="0" xfId="6" applyNumberFormat="1" applyFont="1"/>
    <xf numFmtId="37" fontId="1" fillId="0" borderId="0" xfId="5" applyNumberFormat="1"/>
    <xf numFmtId="0" fontId="1" fillId="0" borderId="36" xfId="5" applyBorder="1"/>
    <xf numFmtId="168" fontId="0" fillId="0" borderId="0" xfId="7" applyNumberFormat="1" applyFont="1" applyBorder="1" applyAlignment="1" applyProtection="1">
      <alignment horizontal="left"/>
    </xf>
    <xf numFmtId="0" fontId="1" fillId="0" borderId="37" xfId="5" quotePrefix="1" applyBorder="1" applyAlignment="1">
      <alignment horizontal="left"/>
    </xf>
    <xf numFmtId="168" fontId="0" fillId="0" borderId="0" xfId="7" quotePrefix="1" applyNumberFormat="1" applyFont="1" applyBorder="1" applyAlignment="1" applyProtection="1">
      <alignment horizontal="left"/>
    </xf>
    <xf numFmtId="0" fontId="1" fillId="0" borderId="37" xfId="5" applyBorder="1"/>
    <xf numFmtId="0" fontId="1" fillId="0" borderId="38" xfId="5" applyBorder="1"/>
    <xf numFmtId="0" fontId="9" fillId="3" borderId="39" xfId="5" quotePrefix="1" applyFont="1" applyFill="1" applyBorder="1" applyAlignment="1">
      <alignment horizontal="left" vertical="center" wrapText="1"/>
    </xf>
    <xf numFmtId="168" fontId="9" fillId="3" borderId="0" xfId="7" quotePrefix="1" applyNumberFormat="1" applyFont="1" applyFill="1" applyBorder="1" applyAlignment="1" applyProtection="1">
      <alignment horizontal="left" vertical="center" wrapText="1"/>
    </xf>
    <xf numFmtId="37" fontId="9" fillId="3" borderId="0" xfId="7" quotePrefix="1" applyNumberFormat="1" applyFont="1" applyFill="1" applyBorder="1" applyAlignment="1" applyProtection="1">
      <alignment vertical="center" wrapText="1"/>
    </xf>
    <xf numFmtId="0" fontId="1" fillId="0" borderId="40" xfId="5" quotePrefix="1" applyBorder="1" applyAlignment="1">
      <alignment horizontal="left"/>
    </xf>
    <xf numFmtId="0" fontId="9" fillId="3" borderId="23" xfId="5" quotePrefix="1" applyFont="1" applyFill="1" applyBorder="1" applyAlignment="1">
      <alignment horizontal="left" vertical="center" wrapText="1"/>
    </xf>
    <xf numFmtId="37" fontId="9" fillId="3" borderId="23" xfId="5" quotePrefix="1" applyNumberFormat="1" applyFont="1" applyFill="1" applyBorder="1" applyAlignment="1">
      <alignment vertical="center" wrapText="1"/>
    </xf>
    <xf numFmtId="0" fontId="9" fillId="0" borderId="41" xfId="5" quotePrefix="1" applyFont="1" applyBorder="1" applyAlignment="1">
      <alignment horizontal="center" vertical="center" wrapText="1"/>
    </xf>
    <xf numFmtId="0" fontId="9" fillId="0" borderId="0" xfId="5" quotePrefix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67" fontId="0" fillId="0" borderId="0" xfId="0" applyNumberFormat="1" applyAlignment="1">
      <alignment horizontal="center"/>
    </xf>
    <xf numFmtId="167" fontId="0" fillId="0" borderId="0" xfId="4" applyNumberFormat="1" applyFont="1" applyAlignment="1" applyProtection="1">
      <alignment horizontal="center"/>
    </xf>
    <xf numFmtId="0" fontId="0" fillId="0" borderId="42" xfId="0" applyBorder="1"/>
    <xf numFmtId="0" fontId="0" fillId="0" borderId="43" xfId="0" applyBorder="1"/>
    <xf numFmtId="0" fontId="0" fillId="0" borderId="42" xfId="0" pivotButton="1" applyBorder="1"/>
    <xf numFmtId="0" fontId="0" fillId="0" borderId="44" xfId="0" applyBorder="1"/>
    <xf numFmtId="17" fontId="0" fillId="0" borderId="42" xfId="0" applyNumberFormat="1" applyBorder="1"/>
    <xf numFmtId="17" fontId="0" fillId="0" borderId="45" xfId="0" applyNumberFormat="1" applyBorder="1"/>
    <xf numFmtId="17" fontId="0" fillId="0" borderId="46" xfId="0" applyNumberFormat="1" applyBorder="1"/>
    <xf numFmtId="166" fontId="0" fillId="0" borderId="42" xfId="0" applyNumberFormat="1" applyBorder="1"/>
    <xf numFmtId="166" fontId="0" fillId="0" borderId="45" xfId="0" applyNumberFormat="1" applyBorder="1"/>
    <xf numFmtId="166" fontId="0" fillId="0" borderId="46" xfId="0" applyNumberFormat="1" applyBorder="1"/>
    <xf numFmtId="0" fontId="0" fillId="0" borderId="47" xfId="0" applyBorder="1"/>
    <xf numFmtId="0" fontId="0" fillId="0" borderId="48" xfId="0" applyBorder="1"/>
    <xf numFmtId="166" fontId="14" fillId="0" borderId="48" xfId="0" applyNumberFormat="1" applyFont="1" applyBorder="1"/>
    <xf numFmtId="166" fontId="14" fillId="0" borderId="0" xfId="0" applyNumberFormat="1" applyFont="1"/>
    <xf numFmtId="166" fontId="14" fillId="0" borderId="49" xfId="0" applyNumberFormat="1" applyFont="1" applyBorder="1"/>
    <xf numFmtId="166" fontId="0" fillId="0" borderId="48" xfId="0" applyNumberFormat="1" applyBorder="1"/>
    <xf numFmtId="166" fontId="0" fillId="0" borderId="49" xfId="0" applyNumberFormat="1" applyBorder="1"/>
    <xf numFmtId="166" fontId="14" fillId="0" borderId="42" xfId="0" applyNumberFormat="1" applyFont="1" applyBorder="1"/>
    <xf numFmtId="166" fontId="14" fillId="0" borderId="45" xfId="0" applyNumberFormat="1" applyFont="1" applyBorder="1"/>
    <xf numFmtId="166" fontId="14" fillId="0" borderId="46" xfId="0" applyNumberFormat="1" applyFont="1" applyBorder="1"/>
    <xf numFmtId="0" fontId="0" fillId="0" borderId="50" xfId="0" applyBorder="1"/>
    <xf numFmtId="0" fontId="0" fillId="0" borderId="51" xfId="0" applyBorder="1"/>
    <xf numFmtId="166" fontId="0" fillId="0" borderId="50" xfId="0" applyNumberFormat="1" applyBorder="1"/>
    <xf numFmtId="166" fontId="0" fillId="0" borderId="52" xfId="0" applyNumberFormat="1" applyBorder="1"/>
    <xf numFmtId="166" fontId="0" fillId="0" borderId="53" xfId="0" applyNumberFormat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</cellXfs>
  <cellStyles count="8">
    <cellStyle name="Comma" xfId="1" builtinId="3"/>
    <cellStyle name="Comma 2" xfId="6" xr:uid="{CF4DD474-9A96-4F40-B60A-3971D2CE1B4F}"/>
    <cellStyle name="Currency" xfId="2" builtinId="4"/>
    <cellStyle name="Normal" xfId="0" builtinId="0"/>
    <cellStyle name="Normal 2" xfId="3" xr:uid="{00000000-0005-0000-0000-000003000000}"/>
    <cellStyle name="Normal 3" xfId="5" xr:uid="{2EF22019-B740-4038-A124-4D553B5A5E39}"/>
    <cellStyle name="Percent" xfId="4" builtinId="5"/>
    <cellStyle name="Percent 2" xfId="7" xr:uid="{ED17F1C2-6DC5-4040-8EF0-B8E356045EFA}"/>
  </cellStyles>
  <dxfs count="171"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1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protection locked="0"/>
    </dxf>
    <dxf>
      <numFmt numFmtId="166" formatCode="_(* #,##0_);_(* \(#,##0\);_(* &quot;-&quot;??_);_(@_)"/>
    </dxf>
    <dxf>
      <numFmt numFmtId="35" formatCode="_(* #,##0.00_);_(* \(#,##0.00\);_(* &quot;-&quot;??_);_(@_)"/>
    </dxf>
    <dxf>
      <numFmt numFmtId="2" formatCode="0.00"/>
    </dxf>
    <dxf>
      <numFmt numFmtId="2" formatCode="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  <numFmt numFmtId="164" formatCode="&quot;$&quot;#,##0.00"/>
    </dxf>
    <dxf>
      <font>
        <name val="Arial Narrow"/>
        <scheme val="none"/>
      </font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175747" refreshedDate="46163.60252291667" createdVersion="6" refreshedVersion="8" recordCount="192" xr:uid="{00000000-000A-0000-FFFF-FFFFE6000000}">
  <cacheSource type="worksheet">
    <worksheetSource ref="B19:R211" sheet="Transactions"/>
  </cacheSource>
  <cacheFields count="17">
    <cacheField name="Serivce Month" numFmtId="17">
      <sharedItems containsSemiMixedTypes="0" containsNonDate="0" containsDate="1" containsString="0" minDate="2010-01-01T00:00:00" maxDate="2025-12-02T00:00:00" count="192">
        <d v="2025-01-01T00:00:00"/>
        <d v="2025-02-01T00:00:00"/>
        <d v="2025-03-01T00:00:00"/>
        <d v="2025-04-01T00:00:00"/>
        <d v="2025-05-01T00:00:00"/>
        <d v="2025-06-01T00:00:00"/>
        <d v="2025-07-01T00:00:00"/>
        <d v="2025-08-01T00:00:00"/>
        <d v="2025-09-01T00:00:00"/>
        <d v="2025-10-01T00:00:00"/>
        <d v="2025-11-01T00:00:00"/>
        <d v="2025-12-01T00:00:00"/>
        <d v="2024-01-01T00:00:00" u="1"/>
        <d v="2024-02-01T00:00:00" u="1"/>
        <d v="2024-03-01T00:00:00" u="1"/>
        <d v="2024-04-01T00:00:00" u="1"/>
        <d v="2024-05-01T00:00:00" u="1"/>
        <d v="2024-06-01T00:00:00" u="1"/>
        <d v="2024-07-01T00:00:00" u="1"/>
        <d v="2024-08-01T00:00:00" u="1"/>
        <d v="2024-09-01T00:00:00" u="1"/>
        <d v="2024-10-01T00:00:00" u="1"/>
        <d v="2024-11-01T00:00:00" u="1"/>
        <d v="2024-12-01T00:00:00" u="1"/>
        <d v="2023-01-01T00:00:00" u="1"/>
        <d v="2023-02-01T00:00:00" u="1"/>
        <d v="2023-03-01T00:00:00" u="1"/>
        <d v="2023-04-01T00:00:00" u="1"/>
        <d v="2023-05-01T00:00:00" u="1"/>
        <d v="2023-06-01T00:00:00" u="1"/>
        <d v="2023-07-01T00:00:00" u="1"/>
        <d v="2023-08-01T00:00:00" u="1"/>
        <d v="2023-09-01T00:00:00" u="1"/>
        <d v="2023-10-01T00:00:00" u="1"/>
        <d v="2023-11-01T00:00:00" u="1"/>
        <d v="2023-12-01T00:00:00" u="1"/>
        <d v="2022-01-01T00:00:00" u="1"/>
        <d v="2022-02-01T00:00:00" u="1"/>
        <d v="2022-03-01T00:00:00" u="1"/>
        <d v="2022-04-01T00:00:00" u="1"/>
        <d v="2022-05-01T00:00:00" u="1"/>
        <d v="2022-06-01T00:00:00" u="1"/>
        <d v="2022-07-01T00:00:00" u="1"/>
        <d v="2022-08-01T00:00:00" u="1"/>
        <d v="2022-09-01T00:00:00" u="1"/>
        <d v="2022-10-01T00:00:00" u="1"/>
        <d v="2022-11-01T00:00:00" u="1"/>
        <d v="2022-12-01T00:00:00" u="1"/>
        <d v="2013-05-01T00:00:00" u="1"/>
        <d v="2014-05-01T00:00:00" u="1"/>
        <d v="2015-05-01T00:00:00" u="1"/>
        <d v="2016-05-01T00:00:00" u="1"/>
        <d v="2017-05-01T00:00:00" u="1"/>
        <d v="2018-05-01T00:00:00" u="1"/>
        <d v="2019-05-01T00:00:00" u="1"/>
        <d v="2020-05-01T00:00:00" u="1"/>
        <d v="2010-11-01T00:00:00" u="1"/>
        <d v="2021-05-01T00:00:00" u="1"/>
        <d v="2011-11-01T00:00:00" u="1"/>
        <d v="2012-11-01T00:00:00" u="1"/>
        <d v="2013-11-01T00:00:00" u="1"/>
        <d v="2014-11-01T00:00:00" u="1"/>
        <d v="2015-11-01T00:00:00" u="1"/>
        <d v="2016-11-01T00:00:00" u="1"/>
        <d v="2017-11-01T00:00:00" u="1"/>
        <d v="2018-11-01T00:00:00" u="1"/>
        <d v="2019-11-01T00:00:00" u="1"/>
        <d v="2020-11-01T00:00:00" u="1"/>
        <d v="2021-11-01T00:00:00" u="1"/>
        <d v="2010-06-01T00:00:00" u="1"/>
        <d v="2011-06-01T00:00:00" u="1"/>
        <d v="2012-06-01T00:00:00" u="1"/>
        <d v="2013-06-01T00:00:00" u="1"/>
        <d v="2014-06-01T00:00:00" u="1"/>
        <d v="2015-06-01T00:00:00" u="1"/>
        <d v="2016-06-01T00:00:00" u="1"/>
        <d v="2017-06-01T00:00:00" u="1"/>
        <d v="2018-06-01T00:00:00" u="1"/>
        <d v="2019-06-01T00:00:00" u="1"/>
        <d v="2020-06-01T00:00:00" u="1"/>
        <d v="2010-12-01T00:00:00" u="1"/>
        <d v="2021-06-01T00:00:00" u="1"/>
        <d v="2011-12-01T00:00:00" u="1"/>
        <d v="2012-12-01T00:00:00" u="1"/>
        <d v="2013-12-01T00:00:00" u="1"/>
        <d v="2014-12-01T00:00:00" u="1"/>
        <d v="2015-12-01T00:00:00" u="1"/>
        <d v="2016-12-01T00:00:00" u="1"/>
        <d v="2017-12-01T00:00:00" u="1"/>
        <d v="2018-12-01T00:00:00" u="1"/>
        <d v="2019-12-01T00:00:00" u="1"/>
        <d v="2020-12-01T00:00:00" u="1"/>
        <d v="2021-12-01T00:00:00" u="1"/>
        <d v="2010-01-01T00:00:00" u="1"/>
        <d v="2011-01-01T00:00:00" u="1"/>
        <d v="2012-01-01T00:00:00" u="1"/>
        <d v="2013-01-01T00:00:00" u="1"/>
        <d v="2014-01-01T00:00:00" u="1"/>
        <d v="2015-01-01T00:00:00" u="1"/>
        <d v="2016-01-01T00:00:00" u="1"/>
        <d v="2017-01-01T00:00:00" u="1"/>
        <d v="2018-01-01T00:00:00" u="1"/>
        <d v="2019-01-01T00:00:00" u="1"/>
        <d v="2020-01-01T00:00:00" u="1"/>
        <d v="2010-07-01T00:00:00" u="1"/>
        <d v="2021-01-01T00:00:00" u="1"/>
        <d v="2011-07-01T00:00:00" u="1"/>
        <d v="2012-07-01T00:00:00" u="1"/>
        <d v="2013-07-01T00:00:00" u="1"/>
        <d v="2014-07-01T00:00:00" u="1"/>
        <d v="2015-07-01T00:00:00" u="1"/>
        <d v="2016-07-01T00:00:00" u="1"/>
        <d v="2017-07-01T00:00:00" u="1"/>
        <d v="2018-07-01T00:00:00" u="1"/>
        <d v="2019-07-01T00:00:00" u="1"/>
        <d v="2020-07-01T00:00:00" u="1"/>
        <d v="2021-07-01T00:00:00" u="1"/>
        <d v="2010-02-01T00:00:00" u="1"/>
        <d v="2011-02-01T00:00:00" u="1"/>
        <d v="2012-02-01T00:00:00" u="1"/>
        <d v="2013-02-01T00:00:00" u="1"/>
        <d v="2014-02-01T00:00:00" u="1"/>
        <d v="2015-02-01T00:00:00" u="1"/>
        <d v="2016-02-01T00:00:00" u="1"/>
        <d v="2017-02-01T00:00:00" u="1"/>
        <d v="2018-02-01T00:00:00" u="1"/>
        <d v="2019-02-01T00:00:00" u="1"/>
        <d v="2020-02-01T00:00:00" u="1"/>
        <d v="2010-08-01T00:00:00" u="1"/>
        <d v="2021-02-01T00:00:00" u="1"/>
        <d v="2011-08-01T00:00:00" u="1"/>
        <d v="2012-08-01T00:00:00" u="1"/>
        <d v="2013-08-01T00:00:00" u="1"/>
        <d v="2014-08-01T00:00:00" u="1"/>
        <d v="2015-08-01T00:00:00" u="1"/>
        <d v="2016-08-01T00:00:00" u="1"/>
        <d v="2017-08-01T00:00:00" u="1"/>
        <d v="2018-08-01T00:00:00" u="1"/>
        <d v="2019-08-01T00:00:00" u="1"/>
        <d v="2020-08-01T00:00:00" u="1"/>
        <d v="2021-08-01T00:00:00" u="1"/>
        <d v="2010-03-01T00:00:00" u="1"/>
        <d v="2011-03-01T00:00:00" u="1"/>
        <d v="2012-03-01T00:00:00" u="1"/>
        <d v="2013-03-01T00:00:00" u="1"/>
        <d v="2014-03-01T00:00:00" u="1"/>
        <d v="2015-03-01T00:00:00" u="1"/>
        <d v="2016-03-01T00:00:00" u="1"/>
        <d v="2017-03-01T00:00:00" u="1"/>
        <d v="2018-03-01T00:00:00" u="1"/>
        <d v="2019-03-01T00:00:00" u="1"/>
        <d v="2020-03-01T00:00:00" u="1"/>
        <d v="2010-09-01T00:00:00" u="1"/>
        <d v="2021-03-01T00:00:00" u="1"/>
        <d v="2011-09-01T00:00:00" u="1"/>
        <d v="2012-09-01T00:00:00" u="1"/>
        <d v="2013-09-01T00:00:00" u="1"/>
        <d v="2014-09-01T00:00:00" u="1"/>
        <d v="2015-09-01T00:00:00" u="1"/>
        <d v="2016-09-01T00:00:00" u="1"/>
        <d v="2017-09-01T00:00:00" u="1"/>
        <d v="2018-09-01T00:00:00" u="1"/>
        <d v="2019-09-01T00:00:00" u="1"/>
        <d v="2020-09-01T00:00:00" u="1"/>
        <d v="2021-09-01T00:00:00" u="1"/>
        <d v="2010-04-01T00:00:00" u="1"/>
        <d v="2011-04-01T00:00:00" u="1"/>
        <d v="2012-04-01T00:00:00" u="1"/>
        <d v="2013-04-01T00:00:00" u="1"/>
        <d v="2014-04-01T00:00:00" u="1"/>
        <d v="2015-04-01T00:00:00" u="1"/>
        <d v="2016-04-01T00:00:00" u="1"/>
        <d v="2017-04-01T00:00:00" u="1"/>
        <d v="2018-04-01T00:00:00" u="1"/>
        <d v="2019-04-01T00:00:00" u="1"/>
        <d v="2020-04-01T00:00:00" u="1"/>
        <d v="2010-10-01T00:00:00" u="1"/>
        <d v="2021-04-01T00:00:00" u="1"/>
        <d v="2011-10-01T00:00:00" u="1"/>
        <d v="2012-10-01T00:00:00" u="1"/>
        <d v="2013-10-01T00:00:00" u="1"/>
        <d v="2014-10-01T00:00:00" u="1"/>
        <d v="2015-10-01T00:00:00" u="1"/>
        <d v="2016-10-01T00:00:00" u="1"/>
        <d v="2017-10-01T00:00:00" u="1"/>
        <d v="2018-10-01T00:00:00" u="1"/>
        <d v="2019-10-01T00:00:00" u="1"/>
        <d v="2020-10-01T00:00:00" u="1"/>
        <d v="2021-10-01T00:00:00" u="1"/>
        <d v="2010-05-01T00:00:00" u="1"/>
        <d v="2011-05-01T00:00:00" u="1"/>
        <d v="2012-05-01T00:00:00" u="1"/>
      </sharedItems>
    </cacheField>
    <cacheField name="Billing_x000a_Date*" numFmtId="14">
      <sharedItems containsSemiMixedTypes="0" containsNonDate="0" containsDate="1" containsString="0" minDate="2025-02-05T00:00:00" maxDate="2026-01-07T00:00:00"/>
    </cacheField>
    <cacheField name="Payment Received*" numFmtId="14">
      <sharedItems containsSemiMixedTypes="0" containsNonDate="0" containsDate="1" containsString="0" minDate="2025-02-24T00:00:00" maxDate="2026-01-27T00:00:00"/>
    </cacheField>
    <cacheField name="Customer" numFmtId="0">
      <sharedItems count="22">
        <s v="PSO"/>
        <s v="SWEPCO"/>
        <s v="SWEPCO-Valley"/>
        <s v="AECC"/>
        <s v="AECI"/>
        <s v="WFEC"/>
        <s v="OMPA"/>
        <s v="OG&amp;E"/>
        <s v="ETEC"/>
        <s v="Greenbelt"/>
        <s v="Lighthouse"/>
        <s v="Bentonville, AR"/>
        <s v="Prescott, AR"/>
        <s v="Minden, LA"/>
        <s v="Hope, AR"/>
        <s v="Coffeyville, KS"/>
        <s v="Bentonville" u="1"/>
        <s v="Hope" u="1"/>
        <s v="NTEC" u="1"/>
        <s v="TEXLA" u="1"/>
        <s v="Prescott" u="1"/>
        <s v="Minden" u="1"/>
      </sharedItems>
    </cacheField>
    <cacheField name="Sched." numFmtId="0">
      <sharedItems containsSemiMixedTypes="0" containsString="0" containsNumber="1" containsInteger="1" minValue="9" maxValue="9"/>
    </cacheField>
    <cacheField name="MW" numFmtId="1">
      <sharedItems containsSemiMixedTypes="0" containsString="0" containsNumber="1" containsInteger="1" minValue="0" maxValue="4110"/>
    </cacheField>
    <cacheField name="Projected Rate (as Invoiced)" numFmtId="164">
      <sharedItems containsSemiMixedTypes="0" containsString="0" containsNumber="1" minValue="1110.3699999999999" maxValue="1110.3699999999999"/>
    </cacheField>
    <cacheField name="Actual True-Up Rate" numFmtId="164">
      <sharedItems containsSemiMixedTypes="0" containsString="0" containsNumber="1" minValue="1038.9100000000001" maxValue="1038.9100000000001"/>
    </cacheField>
    <cacheField name="True-Up Charge" numFmtId="164">
      <sharedItems containsSemiMixedTypes="0" containsString="0" containsNumber="1" minValue="0" maxValue="4269920.1000000006"/>
    </cacheField>
    <cacheField name="Invoiced*** Charge (proj.)" numFmtId="164">
      <sharedItems containsSemiMixedTypes="0" containsString="0" containsNumber="1" minValue="0" maxValue="4563620.6999999993"/>
    </cacheField>
    <cacheField name="True-Up w/o Interest" numFmtId="164">
      <sharedItems containsSemiMixedTypes="0" containsString="0" containsNumber="1" minValue="-293700.5999999987" maxValue="0"/>
    </cacheField>
    <cacheField name="Interest" numFmtId="164">
      <sharedItems containsSemiMixedTypes="0" containsString="0" containsNumber="1" minValue="0" maxValue="22716.500629719481"/>
    </cacheField>
    <cacheField name="2025 True Up Including Interest" numFmtId="164">
      <sharedItems containsSemiMixedTypes="0" containsString="0" containsNumber="1" minValue="-270984.09937027923" maxValue="0"/>
    </cacheField>
    <cacheField name="Tax Rebilling Rate" numFmtId="164">
      <sharedItems containsSemiMixedTypes="0" containsString="0" containsNumber="1" containsInteger="1" minValue="0" maxValue="0"/>
    </cacheField>
    <cacheField name="Tax True Up Billing" numFmtId="164">
      <sharedItems containsSemiMixedTypes="0" containsString="0" containsNumber="1" containsInteger="1" minValue="0" maxValue="0"/>
    </cacheField>
    <cacheField name="Tax True Up" numFmtId="164">
      <sharedItems containsSemiMixedTypes="0" containsString="0" containsNumber="1" containsInteger="1" minValue="0" maxValue="0"/>
    </cacheField>
    <cacheField name="Total True-up" numFmtId="164">
      <sharedItems containsSemiMixedTypes="0" containsString="0" containsNumber="1" minValue="-270984.09937027923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2">
  <r>
    <x v="0"/>
    <d v="2025-02-05T00:00:00"/>
    <d v="2025-02-24T00:00:00"/>
    <x v="0"/>
    <n v="9"/>
    <n v="2941"/>
    <n v="1110.3699999999999"/>
    <n v="1038.9100000000001"/>
    <n v="3055434.31"/>
    <n v="3265598.1699999995"/>
    <n v="-210163.8599999994"/>
    <n v="16255.286703650852"/>
    <n v="-193908.57329634856"/>
    <n v="0"/>
    <n v="0"/>
    <n v="0"/>
    <n v="-193908.57329634856"/>
  </r>
  <r>
    <x v="1"/>
    <d v="2025-03-05T00:00:00"/>
    <d v="2025-03-24T00:00:00"/>
    <x v="0"/>
    <n v="9"/>
    <n v="3221"/>
    <n v="1110.3699999999999"/>
    <n v="1038.9100000000001"/>
    <n v="3346329.1100000003"/>
    <n v="3576501.7699999996"/>
    <n v="-230172.65999999922"/>
    <n v="17802.882853607411"/>
    <n v="-212369.7771463918"/>
    <n v="0"/>
    <n v="0"/>
    <n v="0"/>
    <n v="-212369.7771463918"/>
  </r>
  <r>
    <x v="2"/>
    <d v="2025-04-03T00:00:00"/>
    <d v="2025-04-24T00:00:00"/>
    <x v="0"/>
    <n v="9"/>
    <n v="2419"/>
    <n v="1110.3699999999999"/>
    <n v="1038.9100000000001"/>
    <n v="2513123.29"/>
    <n v="2685985.03"/>
    <n v="-172861.73999999976"/>
    <n v="13370.125309803268"/>
    <n v="-159491.6146901965"/>
    <n v="0"/>
    <n v="0"/>
    <n v="0"/>
    <n v="-159491.6146901965"/>
  </r>
  <r>
    <x v="3"/>
    <d v="2025-05-05T00:00:00"/>
    <d v="2025-05-26T00:00:00"/>
    <x v="0"/>
    <n v="9"/>
    <n v="2717"/>
    <n v="1110.3699999999999"/>
    <n v="1038.9100000000001"/>
    <n v="2822718.47"/>
    <n v="3016875.2899999996"/>
    <n v="-194156.81999999937"/>
    <n v="15017.209783685605"/>
    <n v="-179139.61021631377"/>
    <n v="0"/>
    <n v="0"/>
    <n v="0"/>
    <n v="-179139.61021631377"/>
  </r>
  <r>
    <x v="4"/>
    <d v="2025-06-04T00:00:00"/>
    <d v="2025-06-24T00:00:00"/>
    <x v="0"/>
    <n v="9"/>
    <n v="3378"/>
    <n v="1110.3699999999999"/>
    <n v="1038.9100000000001"/>
    <n v="3509437.9800000004"/>
    <n v="3750829.8599999994"/>
    <n v="-241391.87999999896"/>
    <n v="18670.642123404479"/>
    <n v="-222721.23787659447"/>
    <n v="0"/>
    <n v="0"/>
    <n v="0"/>
    <n v="-222721.23787659447"/>
  </r>
  <r>
    <x v="5"/>
    <d v="2025-07-03T00:00:00"/>
    <d v="2025-07-24T00:00:00"/>
    <x v="0"/>
    <n v="9"/>
    <n v="3824"/>
    <n v="1110.3699999999999"/>
    <n v="1038.9100000000001"/>
    <n v="3972791.8400000003"/>
    <n v="4246054.88"/>
    <n v="-273263.03999999957"/>
    <n v="21135.741705121"/>
    <n v="-252127.29829487856"/>
    <n v="0"/>
    <n v="0"/>
    <n v="0"/>
    <n v="-252127.29829487856"/>
  </r>
  <r>
    <x v="6"/>
    <d v="2025-08-05T00:00:00"/>
    <d v="2025-08-25T00:00:00"/>
    <x v="0"/>
    <n v="9"/>
    <n v="4110"/>
    <n v="1110.3699999999999"/>
    <n v="1038.9100000000001"/>
    <n v="4269920.1000000006"/>
    <n v="4563620.6999999993"/>
    <n v="-293700.5999999987"/>
    <n v="22716.500629719481"/>
    <n v="-270984.09937027923"/>
    <n v="0"/>
    <n v="0"/>
    <n v="0"/>
    <n v="-270984.09937027923"/>
  </r>
  <r>
    <x v="7"/>
    <d v="2025-09-04T00:00:00"/>
    <d v="2025-09-24T00:00:00"/>
    <x v="0"/>
    <n v="9"/>
    <n v="4096"/>
    <n v="1110.3699999999999"/>
    <n v="1038.9100000000001"/>
    <n v="4255375.3600000003"/>
    <n v="4548075.5199999996"/>
    <n v="-292700.15999999922"/>
    <n v="22639.120822221652"/>
    <n v="-270061.03917777759"/>
    <n v="0"/>
    <n v="0"/>
    <n v="0"/>
    <n v="-270061.03917777759"/>
  </r>
  <r>
    <x v="8"/>
    <d v="2025-10-03T00:00:00"/>
    <d v="2025-10-24T00:00:00"/>
    <x v="0"/>
    <n v="9"/>
    <n v="3657"/>
    <n v="1110.3699999999999"/>
    <n v="1038.9100000000001"/>
    <n v="3799293.87"/>
    <n v="4060623.0899999994"/>
    <n v="-261329.21999999927"/>
    <n v="20212.711144254052"/>
    <n v="-241116.50885574523"/>
    <n v="0"/>
    <n v="0"/>
    <n v="0"/>
    <n v="-241116.50885574523"/>
  </r>
  <r>
    <x v="9"/>
    <d v="2025-11-05T00:00:00"/>
    <d v="2025-11-24T00:00:00"/>
    <x v="0"/>
    <n v="9"/>
    <n v="3261"/>
    <n v="1110.3699999999999"/>
    <n v="1038.9100000000001"/>
    <n v="3387885.5100000002"/>
    <n v="3620916.57"/>
    <n v="-233031.05999999959"/>
    <n v="18023.968017886917"/>
    <n v="-215007.09198211267"/>
    <n v="0"/>
    <n v="0"/>
    <n v="0"/>
    <n v="-215007.09198211267"/>
  </r>
  <r>
    <x v="10"/>
    <d v="2025-12-03T00:00:00"/>
    <d v="2025-12-24T00:00:00"/>
    <x v="0"/>
    <n v="9"/>
    <n v="2449"/>
    <n v="1110.3699999999999"/>
    <n v="1038.9100000000001"/>
    <n v="2544290.5900000003"/>
    <n v="2719296.13"/>
    <n v="-175005.53999999957"/>
    <n v="13535.939183012899"/>
    <n v="-161469.60081698667"/>
    <n v="0"/>
    <n v="0"/>
    <n v="0"/>
    <n v="-161469.60081698667"/>
  </r>
  <r>
    <x v="11"/>
    <d v="2026-01-06T00:00:00"/>
    <d v="2026-01-26T00:00:00"/>
    <x v="0"/>
    <n v="9"/>
    <n v="2817"/>
    <n v="1110.3699999999999"/>
    <n v="1038.9100000000001"/>
    <n v="2926609.47"/>
    <n v="3127912.2899999996"/>
    <n v="-201302.81999999937"/>
    <n v="15569.922694384375"/>
    <n v="-185732.89730561498"/>
    <n v="0"/>
    <n v="0"/>
    <n v="0"/>
    <n v="-185732.89730561498"/>
  </r>
  <r>
    <x v="0"/>
    <d v="2025-02-05T00:00:00"/>
    <d v="2025-02-24T00:00:00"/>
    <x v="1"/>
    <n v="9"/>
    <n v="3414"/>
    <n v="1110.3699999999999"/>
    <n v="1038.9100000000001"/>
    <n v="3546838.74"/>
    <n v="3790803.1799999997"/>
    <n v="-243964.43999999948"/>
    <n v="18869.618771256039"/>
    <n v="-225094.82122874344"/>
    <n v="0"/>
    <n v="0"/>
    <n v="0"/>
    <n v="-225094.82122874344"/>
  </r>
  <r>
    <x v="1"/>
    <d v="2025-03-05T00:00:00"/>
    <d v="2025-03-24T00:00:00"/>
    <x v="1"/>
    <n v="9"/>
    <n v="3330"/>
    <n v="1110.3699999999999"/>
    <n v="1038.9100000000001"/>
    <n v="3459570.3000000003"/>
    <n v="3697532.0999999996"/>
    <n v="-237961.79999999935"/>
    <n v="18405.339926269069"/>
    <n v="-219556.46007373027"/>
    <n v="0"/>
    <n v="0"/>
    <n v="0"/>
    <n v="-219556.46007373027"/>
  </r>
  <r>
    <x v="2"/>
    <d v="2025-04-03T00:00:00"/>
    <d v="2025-04-24T00:00:00"/>
    <x v="1"/>
    <n v="9"/>
    <n v="2483"/>
    <n v="1110.3699999999999"/>
    <n v="1038.9100000000001"/>
    <n v="2579613.5300000003"/>
    <n v="2757048.7099999995"/>
    <n v="-177435.17999999924"/>
    <n v="13723.861572650481"/>
    <n v="-163711.31842734874"/>
    <n v="0"/>
    <n v="0"/>
    <n v="0"/>
    <n v="-163711.31842734874"/>
  </r>
  <r>
    <x v="3"/>
    <d v="2025-05-05T00:00:00"/>
    <d v="2025-05-26T00:00:00"/>
    <x v="1"/>
    <n v="9"/>
    <n v="2549"/>
    <n v="1110.3699999999999"/>
    <n v="1038.9100000000001"/>
    <n v="2648181.5900000003"/>
    <n v="2830333.13"/>
    <n v="-182151.53999999957"/>
    <n v="14088.652093711669"/>
    <n v="-168062.88790628791"/>
    <n v="0"/>
    <n v="0"/>
    <n v="0"/>
    <n v="-168062.88790628791"/>
  </r>
  <r>
    <x v="4"/>
    <d v="2025-06-04T00:00:00"/>
    <d v="2025-06-24T00:00:00"/>
    <x v="1"/>
    <n v="9"/>
    <n v="3007"/>
    <n v="1110.3699999999999"/>
    <n v="1038.9100000000001"/>
    <n v="3124002.37"/>
    <n v="3338882.59"/>
    <n v="-214880.21999999974"/>
    <n v="16620.07722471204"/>
    <n v="-198260.14277528771"/>
    <n v="0"/>
    <n v="0"/>
    <n v="0"/>
    <n v="-198260.14277528771"/>
  </r>
  <r>
    <x v="5"/>
    <d v="2025-07-03T00:00:00"/>
    <d v="2025-07-24T00:00:00"/>
    <x v="1"/>
    <n v="9"/>
    <n v="3377"/>
    <n v="1110.3699999999999"/>
    <n v="1038.9100000000001"/>
    <n v="3508399.0700000003"/>
    <n v="3749719.4899999998"/>
    <n v="-241320.41999999946"/>
    <n v="18665.114994297492"/>
    <n v="-222655.30500570196"/>
    <n v="0"/>
    <n v="0"/>
    <n v="0"/>
    <n v="-222655.30500570196"/>
  </r>
  <r>
    <x v="6"/>
    <d v="2025-08-05T00:00:00"/>
    <d v="2025-08-25T00:00:00"/>
    <x v="1"/>
    <n v="9"/>
    <n v="3723"/>
    <n v="1110.3699999999999"/>
    <n v="1038.9100000000001"/>
    <n v="3867861.93"/>
    <n v="4133907.51"/>
    <n v="-266045.57999999961"/>
    <n v="20577.501665315242"/>
    <n v="-245468.07833468437"/>
    <n v="0"/>
    <n v="0"/>
    <n v="0"/>
    <n v="-245468.07833468437"/>
  </r>
  <r>
    <x v="7"/>
    <d v="2025-09-04T00:00:00"/>
    <d v="2025-09-24T00:00:00"/>
    <x v="1"/>
    <n v="9"/>
    <n v="3715"/>
    <n v="1110.3699999999999"/>
    <n v="1038.9100000000001"/>
    <n v="3859550.6500000004"/>
    <n v="4125024.55"/>
    <n v="-265473.89999999944"/>
    <n v="20533.284632459337"/>
    <n v="-244940.6153675401"/>
    <n v="0"/>
    <n v="0"/>
    <n v="0"/>
    <n v="-244940.6153675401"/>
  </r>
  <r>
    <x v="8"/>
    <d v="2025-10-03T00:00:00"/>
    <d v="2025-10-24T00:00:00"/>
    <x v="1"/>
    <n v="9"/>
    <n v="3256"/>
    <n v="1110.3699999999999"/>
    <n v="1038.9100000000001"/>
    <n v="3382690.9600000004"/>
    <n v="3615364.7199999997"/>
    <n v="-232673.75999999931"/>
    <n v="17996.332372351979"/>
    <n v="-214677.42762764732"/>
    <n v="0"/>
    <n v="0"/>
    <n v="0"/>
    <n v="-214677.42762764732"/>
  </r>
  <r>
    <x v="9"/>
    <d v="2025-11-05T00:00:00"/>
    <d v="2025-11-24T00:00:00"/>
    <x v="1"/>
    <n v="9"/>
    <n v="3014"/>
    <n v="1110.3699999999999"/>
    <n v="1038.9100000000001"/>
    <n v="3131274.74"/>
    <n v="3346655.1799999997"/>
    <n v="-215380.43999999948"/>
    <n v="16658.767128460953"/>
    <n v="-198721.67287153853"/>
    <n v="0"/>
    <n v="0"/>
    <n v="0"/>
    <n v="-198721.67287153853"/>
  </r>
  <r>
    <x v="10"/>
    <d v="2025-12-03T00:00:00"/>
    <d v="2025-12-24T00:00:00"/>
    <x v="1"/>
    <n v="9"/>
    <n v="2338"/>
    <n v="1110.3699999999999"/>
    <n v="1038.9100000000001"/>
    <n v="2428971.58"/>
    <n v="2596045.0599999996"/>
    <n v="-167073.47999999952"/>
    <n v="12922.427852137263"/>
    <n v="-154151.05214786224"/>
    <n v="0"/>
    <n v="0"/>
    <n v="0"/>
    <n v="-154151.05214786224"/>
  </r>
  <r>
    <x v="11"/>
    <d v="2026-01-06T00:00:00"/>
    <d v="2026-01-26T00:00:00"/>
    <x v="1"/>
    <n v="9"/>
    <n v="2969"/>
    <n v="1110.3699999999999"/>
    <n v="1038.9100000000001"/>
    <n v="3084523.79"/>
    <n v="3296688.53"/>
    <n v="-212164.73999999976"/>
    <n v="16410.046318646509"/>
    <n v="-195754.69368135324"/>
    <n v="0"/>
    <n v="0"/>
    <n v="0"/>
    <n v="-195754.69368135324"/>
  </r>
  <r>
    <x v="0"/>
    <d v="2025-02-05T00:00:00"/>
    <d v="2025-02-24T00:00:00"/>
    <x v="2"/>
    <n v="9"/>
    <n v="211"/>
    <n v="1110.3699999999999"/>
    <n v="1038.9100000000001"/>
    <n v="219210.01"/>
    <n v="234288.06999999998"/>
    <n v="-15078.059999999969"/>
    <n v="1166.2242415744067"/>
    <n v="-13911.835758425561"/>
    <n v="0"/>
    <n v="0"/>
    <n v="0"/>
    <n v="-13911.835758425561"/>
  </r>
  <r>
    <x v="1"/>
    <d v="2025-03-05T00:00:00"/>
    <d v="2025-03-24T00:00:00"/>
    <x v="2"/>
    <n v="9"/>
    <n v="200"/>
    <n v="1110.3699999999999"/>
    <n v="1038.9100000000001"/>
    <n v="207782.00000000003"/>
    <n v="222073.99999999997"/>
    <n v="-14291.999999999942"/>
    <n v="1105.4258213975418"/>
    <n v="-13186.574178602401"/>
    <n v="0"/>
    <n v="0"/>
    <n v="0"/>
    <n v="-13186.574178602401"/>
  </r>
  <r>
    <x v="2"/>
    <d v="2025-04-03T00:00:00"/>
    <d v="2025-04-24T00:00:00"/>
    <x v="2"/>
    <n v="9"/>
    <n v="122"/>
    <n v="1110.3699999999999"/>
    <n v="1038.9100000000001"/>
    <n v="126747.02"/>
    <n v="135465.13999999998"/>
    <n v="-8718.1199999999808"/>
    <n v="674.30975105250047"/>
    <n v="-8043.8102489474804"/>
    <n v="0"/>
    <n v="0"/>
    <n v="0"/>
    <n v="-8043.8102489474804"/>
  </r>
  <r>
    <x v="3"/>
    <d v="2025-05-05T00:00:00"/>
    <d v="2025-05-26T00:00:00"/>
    <x v="2"/>
    <n v="9"/>
    <n v="109"/>
    <n v="1110.3699999999999"/>
    <n v="1038.9100000000001"/>
    <n v="113241.19"/>
    <n v="121030.32999999999"/>
    <n v="-7789.1399999999849"/>
    <n v="602.45707266166028"/>
    <n v="-7186.6829273383246"/>
    <n v="0"/>
    <n v="0"/>
    <n v="0"/>
    <n v="-7186.6829273383246"/>
  </r>
  <r>
    <x v="4"/>
    <d v="2025-06-04T00:00:00"/>
    <d v="2025-06-24T00:00:00"/>
    <x v="2"/>
    <n v="9"/>
    <n v="102"/>
    <n v="1110.3699999999999"/>
    <n v="1038.9100000000001"/>
    <n v="105968.82"/>
    <n v="113257.73999999999"/>
    <n v="-7288.9199999999837"/>
    <n v="563.76716891274634"/>
    <n v="-6725.1528310872372"/>
    <n v="0"/>
    <n v="0"/>
    <n v="0"/>
    <n v="-6725.1528310872372"/>
  </r>
  <r>
    <x v="5"/>
    <d v="2025-07-03T00:00:00"/>
    <d v="2025-07-24T00:00:00"/>
    <x v="2"/>
    <n v="9"/>
    <n v="131"/>
    <n v="1110.3699999999999"/>
    <n v="1038.9100000000001"/>
    <n v="136097.21000000002"/>
    <n v="145458.46999999997"/>
    <n v="-9361.2599999999511"/>
    <n v="724.05391301538987"/>
    <n v="-8637.2060869845609"/>
    <n v="0"/>
    <n v="0"/>
    <n v="0"/>
    <n v="-8637.2060869845609"/>
  </r>
  <r>
    <x v="6"/>
    <d v="2025-08-05T00:00:00"/>
    <d v="2025-08-25T00:00:00"/>
    <x v="2"/>
    <n v="9"/>
    <n v="146"/>
    <n v="1110.3699999999999"/>
    <n v="1038.9100000000001"/>
    <n v="151680.86000000002"/>
    <n v="162114.01999999999"/>
    <n v="-10433.159999999974"/>
    <n v="806.96084962020541"/>
    <n v="-9626.199150379769"/>
    <n v="0"/>
    <n v="0"/>
    <n v="0"/>
    <n v="-9626.199150379769"/>
  </r>
  <r>
    <x v="7"/>
    <d v="2025-09-04T00:00:00"/>
    <d v="2025-09-24T00:00:00"/>
    <x v="2"/>
    <n v="9"/>
    <n v="149"/>
    <n v="1110.3699999999999"/>
    <n v="1038.9100000000001"/>
    <n v="154797.59000000003"/>
    <n v="165445.12999999998"/>
    <n v="-10647.53999999995"/>
    <n v="823.54223694116865"/>
    <n v="-9823.9977630587819"/>
    <n v="0"/>
    <n v="0"/>
    <n v="0"/>
    <n v="-9823.9977630587819"/>
  </r>
  <r>
    <x v="8"/>
    <d v="2025-10-03T00:00:00"/>
    <d v="2025-10-24T00:00:00"/>
    <x v="2"/>
    <n v="9"/>
    <n v="122"/>
    <n v="1110.3699999999999"/>
    <n v="1038.9100000000001"/>
    <n v="126747.02"/>
    <n v="135465.13999999998"/>
    <n v="-8718.1199999999808"/>
    <n v="674.30975105250047"/>
    <n v="-8043.8102489474804"/>
    <n v="0"/>
    <n v="0"/>
    <n v="0"/>
    <n v="-8043.8102489474804"/>
  </r>
  <r>
    <x v="9"/>
    <d v="2025-11-05T00:00:00"/>
    <d v="2025-11-24T00:00:00"/>
    <x v="2"/>
    <n v="9"/>
    <n v="117"/>
    <n v="1110.3699999999999"/>
    <n v="1038.9100000000001"/>
    <n v="121552.47000000002"/>
    <n v="129913.29"/>
    <n v="-8360.8199999999779"/>
    <n v="646.674105517562"/>
    <n v="-7714.1458944824162"/>
    <n v="0"/>
    <n v="0"/>
    <n v="0"/>
    <n v="-7714.1458944824162"/>
  </r>
  <r>
    <x v="10"/>
    <d v="2025-12-03T00:00:00"/>
    <d v="2025-12-24T00:00:00"/>
    <x v="2"/>
    <n v="9"/>
    <n v="118"/>
    <n v="1110.3699999999999"/>
    <n v="1038.9100000000001"/>
    <n v="122591.38"/>
    <n v="131023.65999999999"/>
    <n v="-8432.2799999999843"/>
    <n v="652.20123462454967"/>
    <n v="-7780.0787653754342"/>
    <n v="0"/>
    <n v="0"/>
    <n v="0"/>
    <n v="-7780.0787653754342"/>
  </r>
  <r>
    <x v="11"/>
    <d v="2026-01-06T00:00:00"/>
    <d v="2026-01-26T00:00:00"/>
    <x v="2"/>
    <n v="9"/>
    <n v="178"/>
    <n v="1110.3699999999999"/>
    <n v="1038.9100000000001"/>
    <n v="184925.98"/>
    <n v="197645.86"/>
    <n v="-12719.879999999976"/>
    <n v="983.82898104381218"/>
    <n v="-11736.051018956163"/>
    <n v="0"/>
    <n v="0"/>
    <n v="0"/>
    <n v="-11736.051018956163"/>
  </r>
  <r>
    <x v="0"/>
    <d v="2025-02-05T00:00:00"/>
    <d v="2025-02-24T00:00:00"/>
    <x v="3"/>
    <n v="9"/>
    <n v="966"/>
    <n v="1110.3699999999999"/>
    <n v="1038.9100000000001"/>
    <n v="1003587.06"/>
    <n v="1072617.42"/>
    <n v="-69030.35999999987"/>
    <n v="5339.2067173501273"/>
    <n v="-63691.153282649742"/>
    <n v="0"/>
    <n v="0"/>
    <n v="0"/>
    <n v="-63691.153282649742"/>
  </r>
  <r>
    <x v="1"/>
    <d v="2025-03-05T00:00:00"/>
    <d v="2025-03-24T00:00:00"/>
    <x v="3"/>
    <n v="9"/>
    <n v="1102"/>
    <n v="1110.3699999999999"/>
    <n v="1038.9100000000001"/>
    <n v="1144878.82"/>
    <n v="1223627.74"/>
    <n v="-78748.919999999925"/>
    <n v="6090.8962759004544"/>
    <n v="-72658.023724099476"/>
    <n v="0"/>
    <n v="0"/>
    <n v="0"/>
    <n v="-72658.023724099476"/>
  </r>
  <r>
    <x v="2"/>
    <d v="2025-04-03T00:00:00"/>
    <d v="2025-04-24T00:00:00"/>
    <x v="3"/>
    <n v="9"/>
    <n v="715"/>
    <n v="1110.3699999999999"/>
    <n v="1038.9100000000001"/>
    <n v="742820.65"/>
    <n v="793914.54999999993"/>
    <n v="-51093.899999999907"/>
    <n v="3951.8973114962114"/>
    <n v="-47142.002688503693"/>
    <n v="0"/>
    <n v="0"/>
    <n v="0"/>
    <n v="-47142.002688503693"/>
  </r>
  <r>
    <x v="3"/>
    <d v="2025-05-05T00:00:00"/>
    <d v="2025-05-26T00:00:00"/>
    <x v="3"/>
    <n v="9"/>
    <n v="581"/>
    <n v="1110.3699999999999"/>
    <n v="1038.9100000000001"/>
    <n v="603606.71000000008"/>
    <n v="645124.97"/>
    <n v="-41518.259999999893"/>
    <n v="3211.262011159859"/>
    <n v="-38306.997988840034"/>
    <n v="0"/>
    <n v="0"/>
    <n v="0"/>
    <n v="-38306.997988840034"/>
  </r>
  <r>
    <x v="4"/>
    <d v="2025-06-04T00:00:00"/>
    <d v="2025-06-24T00:00:00"/>
    <x v="3"/>
    <n v="9"/>
    <n v="781"/>
    <n v="1110.3699999999999"/>
    <n v="1038.9100000000001"/>
    <n v="811388.71000000008"/>
    <n v="867198.97"/>
    <n v="-55810.259999999893"/>
    <n v="4316.6878325574007"/>
    <n v="-51493.572167442493"/>
    <n v="0"/>
    <n v="0"/>
    <n v="0"/>
    <n v="-51493.572167442493"/>
  </r>
  <r>
    <x v="5"/>
    <d v="2025-07-03T00:00:00"/>
    <d v="2025-07-24T00:00:00"/>
    <x v="3"/>
    <n v="9"/>
    <n v="896"/>
    <n v="1110.3699999999999"/>
    <n v="1038.9100000000001"/>
    <n v="930863.3600000001"/>
    <n v="994891.5199999999"/>
    <n v="-64028.1599999998"/>
    <n v="4952.3076798609864"/>
    <n v="-59075.852320138816"/>
    <n v="0"/>
    <n v="0"/>
    <n v="0"/>
    <n v="-59075.852320138816"/>
  </r>
  <r>
    <x v="6"/>
    <d v="2025-08-05T00:00:00"/>
    <d v="2025-08-25T00:00:00"/>
    <x v="3"/>
    <n v="9"/>
    <n v="1028"/>
    <n v="1110.3699999999999"/>
    <n v="1038.9100000000001"/>
    <n v="1067999.48"/>
    <n v="1141460.3599999999"/>
    <n v="-73460.879999999888"/>
    <n v="5681.888721983365"/>
    <n v="-67778.991278016518"/>
    <n v="0"/>
    <n v="0"/>
    <n v="0"/>
    <n v="-67778.991278016518"/>
  </r>
  <r>
    <x v="7"/>
    <d v="2025-09-04T00:00:00"/>
    <d v="2025-09-24T00:00:00"/>
    <x v="3"/>
    <n v="9"/>
    <n v="1055"/>
    <n v="1110.3699999999999"/>
    <n v="1038.9100000000001"/>
    <n v="1096050.05"/>
    <n v="1171440.3499999999"/>
    <n v="-75390.299999999814"/>
    <n v="5831.1212078720337"/>
    <n v="-69559.178792127786"/>
    <n v="0"/>
    <n v="0"/>
    <n v="0"/>
    <n v="-69559.178792127786"/>
  </r>
  <r>
    <x v="8"/>
    <d v="2025-10-03T00:00:00"/>
    <d v="2025-10-24T00:00:00"/>
    <x v="3"/>
    <n v="9"/>
    <n v="815"/>
    <n v="1110.3699999999999"/>
    <n v="1038.9100000000001"/>
    <n v="846711.65"/>
    <n v="904951.54999999993"/>
    <n v="-58239.899999999907"/>
    <n v="4504.6102221949823"/>
    <n v="-53735.289777804923"/>
    <n v="0"/>
    <n v="0"/>
    <n v="0"/>
    <n v="-53735.289777804923"/>
  </r>
  <r>
    <x v="9"/>
    <d v="2025-11-05T00:00:00"/>
    <d v="2025-11-24T00:00:00"/>
    <x v="3"/>
    <n v="9"/>
    <n v="738"/>
    <n v="1110.3699999999999"/>
    <n v="1038.9100000000001"/>
    <n v="766715.58000000007"/>
    <n v="819453.05999999994"/>
    <n v="-52737.479999999865"/>
    <n v="4079.0212809569289"/>
    <n v="-48658.458719042937"/>
    <n v="0"/>
    <n v="0"/>
    <n v="0"/>
    <n v="-48658.458719042937"/>
  </r>
  <r>
    <x v="10"/>
    <d v="2025-12-03T00:00:00"/>
    <d v="2025-12-24T00:00:00"/>
    <x v="3"/>
    <n v="9"/>
    <n v="706"/>
    <n v="1110.3699999999999"/>
    <n v="1038.9100000000001"/>
    <n v="733470.46000000008"/>
    <n v="783921.22"/>
    <n v="-50450.759999999893"/>
    <n v="3902.1531495333224"/>
    <n v="-46548.606850466567"/>
    <n v="0"/>
    <n v="0"/>
    <n v="0"/>
    <n v="-46548.606850466567"/>
  </r>
  <r>
    <x v="11"/>
    <d v="2026-01-06T00:00:00"/>
    <d v="2026-01-26T00:00:00"/>
    <x v="3"/>
    <n v="9"/>
    <n v="863"/>
    <n v="1110.3699999999999"/>
    <n v="1038.9100000000001"/>
    <n v="896579.33000000007"/>
    <n v="958249.30999999994"/>
    <n v="-61669.979999999865"/>
    <n v="4769.9124193303924"/>
    <n v="-56900.067580669471"/>
    <n v="0"/>
    <n v="0"/>
    <n v="0"/>
    <n v="-56900.067580669471"/>
  </r>
  <r>
    <x v="0"/>
    <d v="2025-02-05T00:00:00"/>
    <d v="2025-02-24T00:00:00"/>
    <x v="4"/>
    <n v="9"/>
    <n v="47"/>
    <n v="1110.3699999999999"/>
    <n v="1038.9100000000001"/>
    <n v="48828.770000000004"/>
    <n v="52187.389999999992"/>
    <n v="-3358.6199999999881"/>
    <n v="259.77506802842231"/>
    <n v="-3098.8449319715655"/>
    <n v="0"/>
    <n v="0"/>
    <n v="0"/>
    <n v="-3098.8449319715655"/>
  </r>
  <r>
    <x v="1"/>
    <d v="2025-03-05T00:00:00"/>
    <d v="2025-03-24T00:00:00"/>
    <x v="4"/>
    <n v="9"/>
    <n v="57"/>
    <n v="1110.3699999999999"/>
    <n v="1038.9100000000001"/>
    <n v="59217.87"/>
    <n v="63291.09"/>
    <n v="-4073.2199999999939"/>
    <n v="315.04635909829938"/>
    <n v="-3758.1736409016944"/>
    <n v="0"/>
    <n v="0"/>
    <n v="0"/>
    <n v="-3758.1736409016944"/>
  </r>
  <r>
    <x v="2"/>
    <d v="2025-04-03T00:00:00"/>
    <d v="2025-04-24T00:00:00"/>
    <x v="4"/>
    <n v="9"/>
    <n v="34"/>
    <n v="1110.3699999999999"/>
    <n v="1038.9100000000001"/>
    <n v="35322.94"/>
    <n v="37752.579999999994"/>
    <n v="-2429.6399999999921"/>
    <n v="187.92238963758209"/>
    <n v="-2241.7176103624101"/>
    <n v="0"/>
    <n v="0"/>
    <n v="0"/>
    <n v="-2241.7176103624101"/>
  </r>
  <r>
    <x v="3"/>
    <d v="2025-05-05T00:00:00"/>
    <d v="2025-05-26T00:00:00"/>
    <x v="4"/>
    <n v="9"/>
    <n v="27"/>
    <n v="1110.3699999999999"/>
    <n v="1038.9100000000001"/>
    <n v="28050.570000000003"/>
    <n v="29979.989999999998"/>
    <n v="-1929.4199999999946"/>
    <n v="149.23248588866815"/>
    <n v="-1780.1875141113264"/>
    <n v="0"/>
    <n v="0"/>
    <n v="0"/>
    <n v="-1780.1875141113264"/>
  </r>
  <r>
    <x v="4"/>
    <d v="2025-06-04T00:00:00"/>
    <d v="2025-06-24T00:00:00"/>
    <x v="4"/>
    <n v="9"/>
    <n v="40"/>
    <n v="1110.3699999999999"/>
    <n v="1038.9100000000001"/>
    <n v="41556.400000000001"/>
    <n v="44414.799999999996"/>
    <n v="-2858.3999999999942"/>
    <n v="221.08516427950835"/>
    <n v="-2637.3148357204859"/>
    <n v="0"/>
    <n v="0"/>
    <n v="0"/>
    <n v="-2637.3148357204859"/>
  </r>
  <r>
    <x v="5"/>
    <d v="2025-07-03T00:00:00"/>
    <d v="2025-07-24T00:00:00"/>
    <x v="4"/>
    <n v="9"/>
    <n v="46"/>
    <n v="1110.3699999999999"/>
    <n v="1038.9100000000001"/>
    <n v="47789.86"/>
    <n v="51077.02"/>
    <n v="-3287.1599999999962"/>
    <n v="254.24793892143461"/>
    <n v="-3032.9120610785617"/>
    <n v="0"/>
    <n v="0"/>
    <n v="0"/>
    <n v="-3032.9120610785617"/>
  </r>
  <r>
    <x v="6"/>
    <d v="2025-08-05T00:00:00"/>
    <d v="2025-08-25T00:00:00"/>
    <x v="4"/>
    <n v="9"/>
    <n v="55"/>
    <n v="1110.3699999999999"/>
    <n v="1038.9100000000001"/>
    <n v="57140.05"/>
    <n v="61070.349999999991"/>
    <n v="-3930.2999999999884"/>
    <n v="303.99210088432403"/>
    <n v="-3626.3078991156644"/>
    <n v="0"/>
    <n v="0"/>
    <n v="0"/>
    <n v="-3626.3078991156644"/>
  </r>
  <r>
    <x v="7"/>
    <d v="2025-09-04T00:00:00"/>
    <d v="2025-09-24T00:00:00"/>
    <x v="4"/>
    <n v="9"/>
    <n v="55"/>
    <n v="1110.3699999999999"/>
    <n v="1038.9100000000001"/>
    <n v="57140.05"/>
    <n v="61070.349999999991"/>
    <n v="-3930.2999999999884"/>
    <n v="303.99210088432403"/>
    <n v="-3626.3078991156644"/>
    <n v="0"/>
    <n v="0"/>
    <n v="0"/>
    <n v="-3626.3078991156644"/>
  </r>
  <r>
    <x v="8"/>
    <d v="2025-10-03T00:00:00"/>
    <d v="2025-10-24T00:00:00"/>
    <x v="4"/>
    <n v="9"/>
    <n v="44"/>
    <n v="1110.3699999999999"/>
    <n v="1038.9100000000001"/>
    <n v="45712.04"/>
    <n v="48856.28"/>
    <n v="-3144.239999999998"/>
    <n v="243.19368070745921"/>
    <n v="-2901.0463192925386"/>
    <n v="0"/>
    <n v="0"/>
    <n v="0"/>
    <n v="-2901.0463192925386"/>
  </r>
  <r>
    <x v="9"/>
    <d v="2025-11-05T00:00:00"/>
    <d v="2025-11-24T00:00:00"/>
    <x v="4"/>
    <n v="9"/>
    <n v="34"/>
    <n v="1110.3699999999999"/>
    <n v="1038.9100000000001"/>
    <n v="35322.94"/>
    <n v="37752.579999999994"/>
    <n v="-2429.6399999999921"/>
    <n v="187.92238963758209"/>
    <n v="-2241.7176103624101"/>
    <n v="0"/>
    <n v="0"/>
    <n v="0"/>
    <n v="-2241.7176103624101"/>
  </r>
  <r>
    <x v="10"/>
    <d v="2025-12-03T00:00:00"/>
    <d v="2025-12-24T00:00:00"/>
    <x v="4"/>
    <n v="9"/>
    <n v="35"/>
    <n v="1110.3699999999999"/>
    <n v="1038.9100000000001"/>
    <n v="36361.850000000006"/>
    <n v="38862.949999999997"/>
    <n v="-2501.0999999999913"/>
    <n v="193.44951874456981"/>
    <n v="-2307.6504812554213"/>
    <n v="0"/>
    <n v="0"/>
    <n v="0"/>
    <n v="-2307.6504812554213"/>
  </r>
  <r>
    <x v="11"/>
    <d v="2026-01-06T00:00:00"/>
    <d v="2026-01-26T00:00:00"/>
    <x v="4"/>
    <n v="9"/>
    <n v="39"/>
    <n v="1110.3699999999999"/>
    <n v="1038.9100000000001"/>
    <n v="40517.490000000005"/>
    <n v="43304.429999999993"/>
    <n v="-2786.9399999999878"/>
    <n v="215.55803517252065"/>
    <n v="-2571.3819648274671"/>
    <n v="0"/>
    <n v="0"/>
    <n v="0"/>
    <n v="-2571.3819648274671"/>
  </r>
  <r>
    <x v="0"/>
    <d v="2025-02-05T00:00:00"/>
    <d v="2025-02-24T00:00:00"/>
    <x v="5"/>
    <n v="9"/>
    <n v="67"/>
    <n v="1110.3699999999999"/>
    <n v="1038.9100000000001"/>
    <n v="69606.97"/>
    <n v="74394.789999999994"/>
    <n v="-4787.8199999999924"/>
    <n v="370.3176501681765"/>
    <n v="-4417.502349831816"/>
    <n v="0"/>
    <n v="0"/>
    <n v="0"/>
    <n v="-4417.502349831816"/>
  </r>
  <r>
    <x v="1"/>
    <d v="2025-03-05T00:00:00"/>
    <d v="2025-03-24T00:00:00"/>
    <x v="5"/>
    <n v="9"/>
    <n v="71"/>
    <n v="1110.3699999999999"/>
    <n v="1038.9100000000001"/>
    <n v="73762.61"/>
    <n v="78836.26999999999"/>
    <n v="-5073.6599999999889"/>
    <n v="392.42616659612736"/>
    <n v="-4681.2338334038614"/>
    <n v="0"/>
    <n v="0"/>
    <n v="0"/>
    <n v="-4681.2338334038614"/>
  </r>
  <r>
    <x v="2"/>
    <d v="2025-04-03T00:00:00"/>
    <d v="2025-04-24T00:00:00"/>
    <x v="5"/>
    <n v="9"/>
    <n v="49"/>
    <n v="1110.3699999999999"/>
    <n v="1038.9100000000001"/>
    <n v="50906.590000000004"/>
    <n v="54408.13"/>
    <n v="-3501.5399999999936"/>
    <n v="270.82932624239771"/>
    <n v="-3230.7106737575959"/>
    <n v="0"/>
    <n v="0"/>
    <n v="0"/>
    <n v="-3230.7106737575959"/>
  </r>
  <r>
    <x v="3"/>
    <d v="2025-05-05T00:00:00"/>
    <d v="2025-05-26T00:00:00"/>
    <x v="5"/>
    <n v="9"/>
    <n v="37"/>
    <n v="1110.3699999999999"/>
    <n v="1038.9100000000001"/>
    <n v="38439.670000000006"/>
    <n v="41083.689999999995"/>
    <n v="-2644.0199999999895"/>
    <n v="204.50377695854522"/>
    <n v="-2439.5162230414444"/>
    <n v="0"/>
    <n v="0"/>
    <n v="0"/>
    <n v="-2439.5162230414444"/>
  </r>
  <r>
    <x v="4"/>
    <d v="2025-06-04T00:00:00"/>
    <d v="2025-06-24T00:00:00"/>
    <x v="5"/>
    <n v="9"/>
    <n v="50"/>
    <n v="1110.3699999999999"/>
    <n v="1038.9100000000001"/>
    <n v="51945.500000000007"/>
    <n v="55518.499999999993"/>
    <n v="-3572.9999999999854"/>
    <n v="276.35645534938544"/>
    <n v="-3296.6435446506002"/>
    <n v="0"/>
    <n v="0"/>
    <n v="0"/>
    <n v="-3296.6435446506002"/>
  </r>
  <r>
    <x v="5"/>
    <d v="2025-07-03T00:00:00"/>
    <d v="2025-07-24T00:00:00"/>
    <x v="5"/>
    <n v="9"/>
    <n v="54"/>
    <n v="1110.3699999999999"/>
    <n v="1038.9100000000001"/>
    <n v="56101.140000000007"/>
    <n v="59959.979999999996"/>
    <n v="-3858.8399999999892"/>
    <n v="298.4649717773363"/>
    <n v="-3560.3750282226529"/>
    <n v="0"/>
    <n v="0"/>
    <n v="0"/>
    <n v="-3560.3750282226529"/>
  </r>
  <r>
    <x v="6"/>
    <d v="2025-08-05T00:00:00"/>
    <d v="2025-08-25T00:00:00"/>
    <x v="5"/>
    <n v="9"/>
    <n v="62"/>
    <n v="1110.3699999999999"/>
    <n v="1038.9100000000001"/>
    <n v="64412.420000000006"/>
    <n v="68842.939999999988"/>
    <n v="-4430.5199999999822"/>
    <n v="342.68200463323797"/>
    <n v="-4087.8379953667445"/>
    <n v="0"/>
    <n v="0"/>
    <n v="0"/>
    <n v="-4087.8379953667445"/>
  </r>
  <r>
    <x v="7"/>
    <d v="2025-09-04T00:00:00"/>
    <d v="2025-09-24T00:00:00"/>
    <x v="5"/>
    <n v="9"/>
    <n v="55"/>
    <n v="1110.3699999999999"/>
    <n v="1038.9100000000001"/>
    <n v="57140.05"/>
    <n v="61070.349999999991"/>
    <n v="-3930.2999999999884"/>
    <n v="303.99210088432403"/>
    <n v="-3626.3078991156644"/>
    <n v="0"/>
    <n v="0"/>
    <n v="0"/>
    <n v="-3626.3078991156644"/>
  </r>
  <r>
    <x v="8"/>
    <d v="2025-10-03T00:00:00"/>
    <d v="2025-10-24T00:00:00"/>
    <x v="5"/>
    <n v="9"/>
    <n v="50"/>
    <n v="1110.3699999999999"/>
    <n v="1038.9100000000001"/>
    <n v="51945.500000000007"/>
    <n v="55518.499999999993"/>
    <n v="-3572.9999999999854"/>
    <n v="276.35645534938544"/>
    <n v="-3296.6435446506002"/>
    <n v="0"/>
    <n v="0"/>
    <n v="0"/>
    <n v="-3296.6435446506002"/>
  </r>
  <r>
    <x v="9"/>
    <d v="2025-11-05T00:00:00"/>
    <d v="2025-11-24T00:00:00"/>
    <x v="5"/>
    <n v="9"/>
    <n v="47"/>
    <n v="1110.3699999999999"/>
    <n v="1038.9100000000001"/>
    <n v="48828.770000000004"/>
    <n v="52187.389999999992"/>
    <n v="-3358.6199999999881"/>
    <n v="259.77506802842231"/>
    <n v="-3098.8449319715655"/>
    <n v="0"/>
    <n v="0"/>
    <n v="0"/>
    <n v="-3098.8449319715655"/>
  </r>
  <r>
    <x v="10"/>
    <d v="2025-12-03T00:00:00"/>
    <d v="2025-12-24T00:00:00"/>
    <x v="5"/>
    <n v="9"/>
    <n v="48"/>
    <n v="1110.3699999999999"/>
    <n v="1038.9100000000001"/>
    <n v="49867.680000000008"/>
    <n v="53297.759999999995"/>
    <n v="-3430.0799999999872"/>
    <n v="265.30219713541004"/>
    <n v="-3164.7778028645771"/>
    <n v="0"/>
    <n v="0"/>
    <n v="0"/>
    <n v="-3164.7778028645771"/>
  </r>
  <r>
    <x v="11"/>
    <d v="2026-01-06T00:00:00"/>
    <d v="2026-01-26T00:00:00"/>
    <x v="5"/>
    <n v="9"/>
    <n v="58"/>
    <n v="1110.3699999999999"/>
    <n v="1038.9100000000001"/>
    <n v="60256.780000000006"/>
    <n v="64401.459999999992"/>
    <n v="-4144.6799999999857"/>
    <n v="320.57348820528711"/>
    <n v="-3824.1065117946987"/>
    <n v="0"/>
    <n v="0"/>
    <n v="0"/>
    <n v="-3824.1065117946987"/>
  </r>
  <r>
    <x v="0"/>
    <d v="2025-02-05T00:00:00"/>
    <d v="2025-02-24T00:00:00"/>
    <x v="6"/>
    <n v="9"/>
    <n v="89"/>
    <n v="1110.3699999999999"/>
    <n v="1038.9100000000001"/>
    <n v="92462.99"/>
    <n v="98822.93"/>
    <n v="-6359.9399999999878"/>
    <n v="491.91449052190609"/>
    <n v="-5868.0255094780814"/>
    <n v="0"/>
    <n v="0"/>
    <n v="0"/>
    <n v="-5868.0255094780814"/>
  </r>
  <r>
    <x v="1"/>
    <d v="2025-03-05T00:00:00"/>
    <d v="2025-03-24T00:00:00"/>
    <x v="6"/>
    <n v="9"/>
    <n v="102"/>
    <n v="1110.3699999999999"/>
    <n v="1038.9100000000001"/>
    <n v="105968.82"/>
    <n v="113257.73999999999"/>
    <n v="-7288.9199999999837"/>
    <n v="563.76716891274634"/>
    <n v="-6725.1528310872372"/>
    <n v="0"/>
    <n v="0"/>
    <n v="0"/>
    <n v="-6725.1528310872372"/>
  </r>
  <r>
    <x v="2"/>
    <d v="2025-04-03T00:00:00"/>
    <d v="2025-04-24T00:00:00"/>
    <x v="6"/>
    <n v="9"/>
    <n v="64"/>
    <n v="1110.3699999999999"/>
    <n v="1038.9100000000001"/>
    <n v="66490.240000000005"/>
    <n v="71063.679999999993"/>
    <n v="-4573.4399999999878"/>
    <n v="353.73626284721331"/>
    <n v="-4219.7037371527749"/>
    <n v="0"/>
    <n v="0"/>
    <n v="0"/>
    <n v="-4219.7037371527749"/>
  </r>
  <r>
    <x v="3"/>
    <d v="2025-05-05T00:00:00"/>
    <d v="2025-05-26T00:00:00"/>
    <x v="6"/>
    <n v="9"/>
    <n v="71"/>
    <n v="1110.3699999999999"/>
    <n v="1038.9100000000001"/>
    <n v="73762.61"/>
    <n v="78836.26999999999"/>
    <n v="-5073.6599999999889"/>
    <n v="392.42616659612736"/>
    <n v="-4681.2338334038614"/>
    <n v="0"/>
    <n v="0"/>
    <n v="0"/>
    <n v="-4681.2338334038614"/>
  </r>
  <r>
    <x v="4"/>
    <d v="2025-06-04T00:00:00"/>
    <d v="2025-06-24T00:00:00"/>
    <x v="6"/>
    <n v="9"/>
    <n v="108"/>
    <n v="1110.3699999999999"/>
    <n v="1038.9100000000001"/>
    <n v="112202.28000000001"/>
    <n v="119919.95999999999"/>
    <n v="-7717.6799999999785"/>
    <n v="596.9299435546726"/>
    <n v="-7120.7500564453057"/>
    <n v="0"/>
    <n v="0"/>
    <n v="0"/>
    <n v="-7120.7500564453057"/>
  </r>
  <r>
    <x v="5"/>
    <d v="2025-07-03T00:00:00"/>
    <d v="2025-07-24T00:00:00"/>
    <x v="6"/>
    <n v="9"/>
    <n v="130"/>
    <n v="1110.3699999999999"/>
    <n v="1038.9100000000001"/>
    <n v="135058.30000000002"/>
    <n v="144348.09999999998"/>
    <n v="-9289.7999999999593"/>
    <n v="718.52678390840208"/>
    <n v="-8571.2732160915566"/>
    <n v="0"/>
    <n v="0"/>
    <n v="0"/>
    <n v="-8571.2732160915566"/>
  </r>
  <r>
    <x v="6"/>
    <d v="2025-08-05T00:00:00"/>
    <d v="2025-08-25T00:00:00"/>
    <x v="6"/>
    <n v="9"/>
    <n v="151"/>
    <n v="1110.3699999999999"/>
    <n v="1038.9100000000001"/>
    <n v="156875.41"/>
    <n v="167665.87"/>
    <n v="-10790.459999999992"/>
    <n v="834.59649515514411"/>
    <n v="-9955.8635048448486"/>
    <n v="0"/>
    <n v="0"/>
    <n v="0"/>
    <n v="-9955.8635048448486"/>
  </r>
  <r>
    <x v="7"/>
    <d v="2025-09-04T00:00:00"/>
    <d v="2025-09-24T00:00:00"/>
    <x v="6"/>
    <n v="9"/>
    <n v="145"/>
    <n v="1110.3699999999999"/>
    <n v="1038.9100000000001"/>
    <n v="150641.95000000001"/>
    <n v="161003.65"/>
    <n v="-10361.699999999983"/>
    <n v="801.43372051321774"/>
    <n v="-9560.2662794867647"/>
    <n v="0"/>
    <n v="0"/>
    <n v="0"/>
    <n v="-9560.2662794867647"/>
  </r>
  <r>
    <x v="8"/>
    <d v="2025-10-03T00:00:00"/>
    <d v="2025-10-24T00:00:00"/>
    <x v="6"/>
    <n v="9"/>
    <n v="126"/>
    <n v="1110.3699999999999"/>
    <n v="1038.9100000000001"/>
    <n v="130902.66"/>
    <n v="139906.62"/>
    <n v="-9003.9599999999919"/>
    <n v="696.41826748045139"/>
    <n v="-8307.5417325195413"/>
    <n v="0"/>
    <n v="0"/>
    <n v="0"/>
    <n v="-8307.5417325195413"/>
  </r>
  <r>
    <x v="9"/>
    <d v="2025-11-05T00:00:00"/>
    <d v="2025-11-24T00:00:00"/>
    <x v="6"/>
    <n v="9"/>
    <n v="106"/>
    <n v="1110.3699999999999"/>
    <n v="1038.9100000000001"/>
    <n v="110124.46"/>
    <n v="117699.21999999999"/>
    <n v="-7574.7599999999802"/>
    <n v="585.87568534069715"/>
    <n v="-6988.8843146592826"/>
    <n v="0"/>
    <n v="0"/>
    <n v="0"/>
    <n v="-6988.8843146592826"/>
  </r>
  <r>
    <x v="10"/>
    <d v="2025-12-03T00:00:00"/>
    <d v="2025-12-24T00:00:00"/>
    <x v="6"/>
    <n v="9"/>
    <n v="67"/>
    <n v="1110.3699999999999"/>
    <n v="1038.9100000000001"/>
    <n v="69606.97"/>
    <n v="74394.789999999994"/>
    <n v="-4787.8199999999924"/>
    <n v="370.3176501681765"/>
    <n v="-4417.502349831816"/>
    <n v="0"/>
    <n v="0"/>
    <n v="0"/>
    <n v="-4417.502349831816"/>
  </r>
  <r>
    <x v="11"/>
    <d v="2026-01-06T00:00:00"/>
    <d v="2026-01-26T00:00:00"/>
    <x v="6"/>
    <n v="9"/>
    <n v="82"/>
    <n v="1110.3699999999999"/>
    <n v="1038.9100000000001"/>
    <n v="85190.62000000001"/>
    <n v="91050.34"/>
    <n v="-5859.7199999999866"/>
    <n v="453.2245867729921"/>
    <n v="-5406.4954132269941"/>
    <n v="0"/>
    <n v="0"/>
    <n v="0"/>
    <n v="-5406.4954132269941"/>
  </r>
  <r>
    <x v="0"/>
    <d v="2025-02-05T00:00:00"/>
    <d v="2025-02-24T00:00:00"/>
    <x v="7"/>
    <n v="9"/>
    <n v="70"/>
    <n v="1110.3699999999999"/>
    <n v="1038.9100000000001"/>
    <n v="72723.700000000012"/>
    <n v="77725.899999999994"/>
    <n v="-5002.1999999999825"/>
    <n v="386.89903748913963"/>
    <n v="-4615.3009625108425"/>
    <n v="0"/>
    <n v="0"/>
    <n v="0"/>
    <n v="-4615.3009625108425"/>
  </r>
  <r>
    <x v="1"/>
    <d v="2025-03-05T00:00:00"/>
    <d v="2025-03-24T00:00:00"/>
    <x v="7"/>
    <n v="9"/>
    <n v="50"/>
    <n v="1110.3699999999999"/>
    <n v="1038.9100000000001"/>
    <n v="51945.500000000007"/>
    <n v="55518.499999999993"/>
    <n v="-3572.9999999999854"/>
    <n v="276.35645534938544"/>
    <n v="-3296.6435446506002"/>
    <n v="0"/>
    <n v="0"/>
    <n v="0"/>
    <n v="-3296.6435446506002"/>
  </r>
  <r>
    <x v="2"/>
    <d v="2025-04-03T00:00:00"/>
    <d v="2025-04-24T00:00:00"/>
    <x v="7"/>
    <n v="9"/>
    <n v="67"/>
    <n v="1110.3699999999999"/>
    <n v="1038.9100000000001"/>
    <n v="69606.97"/>
    <n v="74394.789999999994"/>
    <n v="-4787.8199999999924"/>
    <n v="370.3176501681765"/>
    <n v="-4417.502349831816"/>
    <n v="0"/>
    <n v="0"/>
    <n v="0"/>
    <n v="-4417.502349831816"/>
  </r>
  <r>
    <x v="3"/>
    <d v="2025-05-05T00:00:00"/>
    <d v="2025-05-26T00:00:00"/>
    <x v="7"/>
    <n v="9"/>
    <n v="71"/>
    <n v="1110.3699999999999"/>
    <n v="1038.9100000000001"/>
    <n v="73762.61"/>
    <n v="78836.26999999999"/>
    <n v="-5073.6599999999889"/>
    <n v="392.42616659612736"/>
    <n v="-4681.2338334038614"/>
    <n v="0"/>
    <n v="0"/>
    <n v="0"/>
    <n v="-4681.2338334038614"/>
  </r>
  <r>
    <x v="4"/>
    <d v="2025-06-04T00:00:00"/>
    <d v="2025-06-24T00:00:00"/>
    <x v="7"/>
    <n v="9"/>
    <n v="64"/>
    <n v="1110.3699999999999"/>
    <n v="1038.9100000000001"/>
    <n v="66490.240000000005"/>
    <n v="71063.679999999993"/>
    <n v="-4573.4399999999878"/>
    <n v="353.73626284721331"/>
    <n v="-4219.7037371527749"/>
    <n v="0"/>
    <n v="0"/>
    <n v="0"/>
    <n v="-4219.7037371527749"/>
  </r>
  <r>
    <x v="5"/>
    <d v="2025-07-03T00:00:00"/>
    <d v="2025-07-24T00:00:00"/>
    <x v="7"/>
    <n v="9"/>
    <n v="72"/>
    <n v="1110.3699999999999"/>
    <n v="1038.9100000000001"/>
    <n v="74801.52"/>
    <n v="79946.639999999985"/>
    <n v="-5145.1199999999808"/>
    <n v="397.95329570311503"/>
    <n v="-4747.1667042968656"/>
    <n v="0"/>
    <n v="0"/>
    <n v="0"/>
    <n v="-4747.1667042968656"/>
  </r>
  <r>
    <x v="6"/>
    <d v="2025-08-05T00:00:00"/>
    <d v="2025-08-25T00:00:00"/>
    <x v="7"/>
    <n v="9"/>
    <n v="11"/>
    <n v="1110.3699999999999"/>
    <n v="1038.9100000000001"/>
    <n v="11428.01"/>
    <n v="12214.07"/>
    <n v="-786.05999999999949"/>
    <n v="60.798420176864802"/>
    <n v="-725.26157982313464"/>
    <n v="0"/>
    <n v="0"/>
    <n v="0"/>
    <n v="-725.26157982313464"/>
  </r>
  <r>
    <x v="7"/>
    <d v="2025-09-04T00:00:00"/>
    <d v="2025-09-24T00:00:00"/>
    <x v="7"/>
    <n v="9"/>
    <n v="62"/>
    <n v="1110.3699999999999"/>
    <n v="1038.9100000000001"/>
    <n v="64412.420000000006"/>
    <n v="68842.939999999988"/>
    <n v="-4430.5199999999822"/>
    <n v="342.68200463323797"/>
    <n v="-4087.8379953667445"/>
    <n v="0"/>
    <n v="0"/>
    <n v="0"/>
    <n v="-4087.8379953667445"/>
  </r>
  <r>
    <x v="8"/>
    <d v="2025-10-03T00:00:00"/>
    <d v="2025-10-24T00:00:00"/>
    <x v="7"/>
    <n v="9"/>
    <n v="72"/>
    <n v="1110.3699999999999"/>
    <n v="1038.9100000000001"/>
    <n v="74801.52"/>
    <n v="79946.639999999985"/>
    <n v="-5145.1199999999808"/>
    <n v="397.95329570311503"/>
    <n v="-4747.1667042968656"/>
    <n v="0"/>
    <n v="0"/>
    <n v="0"/>
    <n v="-4747.1667042968656"/>
  </r>
  <r>
    <x v="9"/>
    <d v="2025-11-05T00:00:00"/>
    <d v="2025-11-24T00:00:00"/>
    <x v="7"/>
    <n v="9"/>
    <n v="72"/>
    <n v="1110.3699999999999"/>
    <n v="1038.9100000000001"/>
    <n v="74801.52"/>
    <n v="79946.639999999985"/>
    <n v="-5145.1199999999808"/>
    <n v="397.95329570311503"/>
    <n v="-4747.1667042968656"/>
    <n v="0"/>
    <n v="0"/>
    <n v="0"/>
    <n v="-4747.1667042968656"/>
  </r>
  <r>
    <x v="10"/>
    <d v="2025-12-03T00:00:00"/>
    <d v="2025-12-24T00:00:00"/>
    <x v="7"/>
    <n v="9"/>
    <n v="67"/>
    <n v="1110.3699999999999"/>
    <n v="1038.9100000000001"/>
    <n v="69606.97"/>
    <n v="74394.789999999994"/>
    <n v="-4787.8199999999924"/>
    <n v="370.3176501681765"/>
    <n v="-4417.502349831816"/>
    <n v="0"/>
    <n v="0"/>
    <n v="0"/>
    <n v="-4417.502349831816"/>
  </r>
  <r>
    <x v="11"/>
    <d v="2026-01-06T00:00:00"/>
    <d v="2026-01-26T00:00:00"/>
    <x v="7"/>
    <n v="9"/>
    <n v="68"/>
    <n v="1110.3699999999999"/>
    <n v="1038.9100000000001"/>
    <n v="70645.88"/>
    <n v="75505.159999999989"/>
    <n v="-4859.2799999999843"/>
    <n v="375.84477927516417"/>
    <n v="-4483.4352207248203"/>
    <n v="0"/>
    <n v="0"/>
    <n v="0"/>
    <n v="-4483.4352207248203"/>
  </r>
  <r>
    <x v="0"/>
    <d v="2025-02-05T00:00:00"/>
    <d v="2025-02-24T00:00:00"/>
    <x v="8"/>
    <n v="9"/>
    <n v="1315"/>
    <n v="1110.3699999999999"/>
    <n v="1038.9100000000001"/>
    <n v="1366166.6500000001"/>
    <n v="1460136.5499999998"/>
    <n v="-93969.899999999674"/>
    <n v="7268.1747756888371"/>
    <n v="-86701.725224310838"/>
    <n v="0"/>
    <n v="0"/>
    <n v="0"/>
    <n v="-86701.725224310838"/>
  </r>
  <r>
    <x v="1"/>
    <d v="2025-03-05T00:00:00"/>
    <d v="2025-03-24T00:00:00"/>
    <x v="8"/>
    <n v="9"/>
    <n v="1377"/>
    <n v="1110.3699999999999"/>
    <n v="1038.9100000000001"/>
    <n v="1430579.07"/>
    <n v="1528979.4899999998"/>
    <n v="-98400.419999999693"/>
    <n v="7610.8567803220749"/>
    <n v="-90789.563219677613"/>
    <n v="0"/>
    <n v="0"/>
    <n v="0"/>
    <n v="-90789.563219677613"/>
  </r>
  <r>
    <x v="2"/>
    <d v="2025-04-03T00:00:00"/>
    <d v="2025-04-24T00:00:00"/>
    <x v="8"/>
    <n v="9"/>
    <n v="791"/>
    <n v="1110.3699999999999"/>
    <n v="1038.9100000000001"/>
    <n v="821777.81"/>
    <n v="878302.66999999993"/>
    <n v="-56524.85999999987"/>
    <n v="4371.9591236272772"/>
    <n v="-52152.900876372594"/>
    <n v="0"/>
    <n v="0"/>
    <n v="0"/>
    <n v="-52152.900876372594"/>
  </r>
  <r>
    <x v="3"/>
    <d v="2025-05-05T00:00:00"/>
    <d v="2025-05-26T00:00:00"/>
    <x v="8"/>
    <n v="9"/>
    <n v="603"/>
    <n v="1110.3699999999999"/>
    <n v="1038.9100000000001"/>
    <n v="626462.7300000001"/>
    <n v="669553.11"/>
    <n v="-43090.379999999888"/>
    <n v="3332.8588515135884"/>
    <n v="-39757.521148486303"/>
    <n v="0"/>
    <n v="0"/>
    <n v="0"/>
    <n v="-39757.521148486303"/>
  </r>
  <r>
    <x v="4"/>
    <d v="2025-06-04T00:00:00"/>
    <d v="2025-06-24T00:00:00"/>
    <x v="8"/>
    <n v="9"/>
    <n v="738"/>
    <n v="1110.3699999999999"/>
    <n v="1038.9100000000001"/>
    <n v="766715.58000000007"/>
    <n v="819453.05999999994"/>
    <n v="-52737.479999999865"/>
    <n v="4079.0212809569289"/>
    <n v="-48658.458719042937"/>
    <n v="0"/>
    <n v="0"/>
    <n v="0"/>
    <n v="-48658.458719042937"/>
  </r>
  <r>
    <x v="5"/>
    <d v="2025-07-03T00:00:00"/>
    <d v="2025-07-24T00:00:00"/>
    <x v="8"/>
    <n v="9"/>
    <n v="849"/>
    <n v="1110.3699999999999"/>
    <n v="1038.9100000000001"/>
    <n v="882034.59000000008"/>
    <n v="942704.12999999989"/>
    <n v="-60669.539999999804"/>
    <n v="4692.5326118325647"/>
    <n v="-55977.007388167243"/>
    <n v="0"/>
    <n v="0"/>
    <n v="0"/>
    <n v="-55977.007388167243"/>
  </r>
  <r>
    <x v="6"/>
    <d v="2025-08-05T00:00:00"/>
    <d v="2025-08-25T00:00:00"/>
    <x v="8"/>
    <n v="9"/>
    <n v="978"/>
    <n v="1110.3699999999999"/>
    <n v="1038.9100000000001"/>
    <n v="1016053.9800000001"/>
    <n v="1085941.8599999999"/>
    <n v="-69887.879999999772"/>
    <n v="5405.5322666339798"/>
    <n v="-64482.347733365794"/>
    <n v="0"/>
    <n v="0"/>
    <n v="0"/>
    <n v="-64482.347733365794"/>
  </r>
  <r>
    <x v="7"/>
    <d v="2025-09-04T00:00:00"/>
    <d v="2025-09-24T00:00:00"/>
    <x v="8"/>
    <n v="9"/>
    <n v="1000"/>
    <n v="1110.3699999999999"/>
    <n v="1038.9100000000001"/>
    <n v="1038910.0000000001"/>
    <n v="1110370"/>
    <n v="-71459.999999999884"/>
    <n v="5527.1291069877088"/>
    <n v="-65932.870893012179"/>
    <n v="0"/>
    <n v="0"/>
    <n v="0"/>
    <n v="-65932.870893012179"/>
  </r>
  <r>
    <x v="8"/>
    <d v="2025-10-03T00:00:00"/>
    <d v="2025-10-24T00:00:00"/>
    <x v="8"/>
    <n v="9"/>
    <n v="844"/>
    <n v="1110.3699999999999"/>
    <n v="1038.9100000000001"/>
    <n v="876840.04"/>
    <n v="937152.27999999991"/>
    <n v="-60312.239999999874"/>
    <n v="4664.8969662976269"/>
    <n v="-55647.343033702244"/>
    <n v="0"/>
    <n v="0"/>
    <n v="0"/>
    <n v="-55647.343033702244"/>
  </r>
  <r>
    <x v="9"/>
    <d v="2025-11-05T00:00:00"/>
    <d v="2025-11-24T00:00:00"/>
    <x v="8"/>
    <n v="9"/>
    <n v="760"/>
    <n v="1110.3699999999999"/>
    <n v="1038.9100000000001"/>
    <n v="789571.60000000009"/>
    <n v="843881.2"/>
    <n v="-54309.59999999986"/>
    <n v="4200.6181213106584"/>
    <n v="-50108.981878689199"/>
    <n v="0"/>
    <n v="0"/>
    <n v="0"/>
    <n v="-50108.981878689199"/>
  </r>
  <r>
    <x v="10"/>
    <d v="2025-12-03T00:00:00"/>
    <d v="2025-12-24T00:00:00"/>
    <x v="8"/>
    <n v="9"/>
    <n v="748"/>
    <n v="1110.3699999999999"/>
    <n v="1038.9100000000001"/>
    <n v="777104.68"/>
    <n v="830556.75999999989"/>
    <n v="-53452.079999999842"/>
    <n v="4134.2925720268058"/>
    <n v="-49317.787427973039"/>
    <n v="0"/>
    <n v="0"/>
    <n v="0"/>
    <n v="-49317.787427973039"/>
  </r>
  <r>
    <x v="11"/>
    <d v="2026-01-06T00:00:00"/>
    <d v="2026-01-26T00:00:00"/>
    <x v="8"/>
    <n v="9"/>
    <n v="1070"/>
    <n v="1110.3699999999999"/>
    <n v="1038.9100000000001"/>
    <n v="1111633.7000000002"/>
    <n v="1188095.8999999999"/>
    <n v="-76462.199999999721"/>
    <n v="5914.0281444768489"/>
    <n v="-70548.171855522873"/>
    <n v="0"/>
    <n v="0"/>
    <n v="0"/>
    <n v="-70548.171855522873"/>
  </r>
  <r>
    <x v="0"/>
    <d v="2025-02-05T00:00:00"/>
    <d v="2025-02-24T00:00:00"/>
    <x v="9"/>
    <n v="9"/>
    <n v="7"/>
    <n v="1110.3699999999999"/>
    <n v="1038.9100000000001"/>
    <n v="7272.3700000000008"/>
    <n v="7772.5899999999992"/>
    <n v="-500.21999999999844"/>
    <n v="38.689903748913956"/>
    <n v="-461.5300962510845"/>
    <n v="0"/>
    <n v="0"/>
    <n v="0"/>
    <n v="-461.5300962510845"/>
  </r>
  <r>
    <x v="1"/>
    <d v="2025-03-05T00:00:00"/>
    <d v="2025-03-24T00:00:00"/>
    <x v="9"/>
    <n v="9"/>
    <n v="8"/>
    <n v="1110.3699999999999"/>
    <n v="1038.9100000000001"/>
    <n v="8311.2800000000007"/>
    <n v="8882.9599999999991"/>
    <n v="-571.67999999999847"/>
    <n v="44.217032855901664"/>
    <n v="-527.46296714409687"/>
    <n v="0"/>
    <n v="0"/>
    <n v="0"/>
    <n v="-527.46296714409687"/>
  </r>
  <r>
    <x v="2"/>
    <d v="2025-04-03T00:00:00"/>
    <d v="2025-04-24T00:00:00"/>
    <x v="9"/>
    <n v="9"/>
    <n v="7"/>
    <n v="1110.3699999999999"/>
    <n v="1038.9100000000001"/>
    <n v="7272.3700000000008"/>
    <n v="7772.5899999999992"/>
    <n v="-500.21999999999844"/>
    <n v="38.689903748913956"/>
    <n v="-461.5300962510845"/>
    <n v="0"/>
    <n v="0"/>
    <n v="0"/>
    <n v="-461.5300962510845"/>
  </r>
  <r>
    <x v="3"/>
    <d v="2025-05-05T00:00:00"/>
    <d v="2025-05-26T00:00:00"/>
    <x v="9"/>
    <n v="9"/>
    <n v="3"/>
    <n v="1110.3699999999999"/>
    <n v="1038.9100000000001"/>
    <n v="3116.7300000000005"/>
    <n v="3331.1099999999997"/>
    <n v="-214.3799999999992"/>
    <n v="16.581387320963128"/>
    <n v="-197.79861267903607"/>
    <n v="0"/>
    <n v="0"/>
    <n v="0"/>
    <n v="-197.79861267903607"/>
  </r>
  <r>
    <x v="4"/>
    <d v="2025-06-04T00:00:00"/>
    <d v="2025-06-24T00:00:00"/>
    <x v="9"/>
    <n v="9"/>
    <n v="5"/>
    <n v="1110.3699999999999"/>
    <n v="1038.9100000000001"/>
    <n v="5194.55"/>
    <n v="5551.8499999999995"/>
    <n v="-357.29999999999927"/>
    <n v="27.635645534938543"/>
    <n v="-329.66435446506074"/>
    <n v="0"/>
    <n v="0"/>
    <n v="0"/>
    <n v="-329.66435446506074"/>
  </r>
  <r>
    <x v="5"/>
    <d v="2025-07-03T00:00:00"/>
    <d v="2025-07-24T00:00:00"/>
    <x v="9"/>
    <n v="9"/>
    <n v="10"/>
    <n v="1110.3699999999999"/>
    <n v="1038.9100000000001"/>
    <n v="10389.1"/>
    <n v="11103.699999999999"/>
    <n v="-714.59999999999854"/>
    <n v="55.271291069877087"/>
    <n v="-659.32870893012148"/>
    <n v="0"/>
    <n v="0"/>
    <n v="0"/>
    <n v="-659.32870893012148"/>
  </r>
  <r>
    <x v="6"/>
    <d v="2025-08-05T00:00:00"/>
    <d v="2025-08-25T00:00:00"/>
    <x v="9"/>
    <n v="9"/>
    <n v="17"/>
    <n v="1110.3699999999999"/>
    <n v="1038.9100000000001"/>
    <n v="17661.47"/>
    <n v="18876.289999999997"/>
    <n v="-1214.8199999999961"/>
    <n v="93.961194818791043"/>
    <n v="-1120.8588051812051"/>
    <n v="0"/>
    <n v="0"/>
    <n v="0"/>
    <n v="-1120.8588051812051"/>
  </r>
  <r>
    <x v="7"/>
    <d v="2025-09-04T00:00:00"/>
    <d v="2025-09-24T00:00:00"/>
    <x v="9"/>
    <n v="9"/>
    <n v="16"/>
    <n v="1110.3699999999999"/>
    <n v="1038.9100000000001"/>
    <n v="16622.560000000001"/>
    <n v="17765.919999999998"/>
    <n v="-1143.3599999999969"/>
    <n v="88.434065711803328"/>
    <n v="-1054.9259342881937"/>
    <n v="0"/>
    <n v="0"/>
    <n v="0"/>
    <n v="-1054.9259342881937"/>
  </r>
  <r>
    <x v="8"/>
    <d v="2025-10-03T00:00:00"/>
    <d v="2025-10-24T00:00:00"/>
    <x v="9"/>
    <n v="9"/>
    <n v="8"/>
    <n v="1110.3699999999999"/>
    <n v="1038.9100000000001"/>
    <n v="8311.2800000000007"/>
    <n v="8882.9599999999991"/>
    <n v="-571.67999999999847"/>
    <n v="44.217032855901664"/>
    <n v="-527.46296714409687"/>
    <n v="0"/>
    <n v="0"/>
    <n v="0"/>
    <n v="-527.46296714409687"/>
  </r>
  <r>
    <x v="9"/>
    <d v="2025-11-05T00:00:00"/>
    <d v="2025-11-24T00:00:00"/>
    <x v="9"/>
    <n v="9"/>
    <n v="8"/>
    <n v="1110.3699999999999"/>
    <n v="1038.9100000000001"/>
    <n v="8311.2800000000007"/>
    <n v="8882.9599999999991"/>
    <n v="-571.67999999999847"/>
    <n v="44.217032855901664"/>
    <n v="-527.46296714409687"/>
    <n v="0"/>
    <n v="0"/>
    <n v="0"/>
    <n v="-527.46296714409687"/>
  </r>
  <r>
    <x v="10"/>
    <d v="2025-12-03T00:00:00"/>
    <d v="2025-12-24T00:00:00"/>
    <x v="9"/>
    <n v="9"/>
    <n v="6"/>
    <n v="1110.3699999999999"/>
    <n v="1038.9100000000001"/>
    <n v="6233.4600000000009"/>
    <n v="6662.2199999999993"/>
    <n v="-428.7599999999984"/>
    <n v="33.162774641926255"/>
    <n v="-395.59722535807214"/>
    <n v="0"/>
    <n v="0"/>
    <n v="0"/>
    <n v="-395.59722535807214"/>
  </r>
  <r>
    <x v="11"/>
    <d v="2026-01-06T00:00:00"/>
    <d v="2026-01-26T00:00:00"/>
    <x v="9"/>
    <n v="9"/>
    <n v="7"/>
    <n v="1110.3699999999999"/>
    <n v="1038.9100000000001"/>
    <n v="7272.3700000000008"/>
    <n v="7772.5899999999992"/>
    <n v="-500.21999999999844"/>
    <n v="38.689903748913956"/>
    <n v="-461.5300962510845"/>
    <n v="0"/>
    <n v="0"/>
    <n v="0"/>
    <n v="-461.5300962510845"/>
  </r>
  <r>
    <x v="0"/>
    <d v="2025-02-05T00:00:00"/>
    <d v="2025-02-24T00:00:00"/>
    <x v="10"/>
    <n v="9"/>
    <n v="2"/>
    <n v="1110.3699999999999"/>
    <n v="1038.9100000000001"/>
    <n v="2077.8200000000002"/>
    <n v="2220.7399999999998"/>
    <n v="-142.91999999999962"/>
    <n v="11.054258213975416"/>
    <n v="-131.86574178602422"/>
    <n v="0"/>
    <n v="0"/>
    <n v="0"/>
    <n v="-131.86574178602422"/>
  </r>
  <r>
    <x v="1"/>
    <d v="2025-03-05T00:00:00"/>
    <d v="2025-03-24T00:00:00"/>
    <x v="10"/>
    <n v="9"/>
    <n v="3"/>
    <n v="1110.3699999999999"/>
    <n v="1038.9100000000001"/>
    <n v="3116.7300000000005"/>
    <n v="3331.1099999999997"/>
    <n v="-214.3799999999992"/>
    <n v="16.581387320963128"/>
    <n v="-197.79861267903607"/>
    <n v="0"/>
    <n v="0"/>
    <n v="0"/>
    <n v="-197.79861267903607"/>
  </r>
  <r>
    <x v="2"/>
    <d v="2025-04-03T00:00:00"/>
    <d v="2025-04-24T00:00:00"/>
    <x v="10"/>
    <n v="9"/>
    <n v="2"/>
    <n v="1110.3699999999999"/>
    <n v="1038.9100000000001"/>
    <n v="2077.8200000000002"/>
    <n v="2220.7399999999998"/>
    <n v="-142.91999999999962"/>
    <n v="11.054258213975416"/>
    <n v="-131.86574178602422"/>
    <n v="0"/>
    <n v="0"/>
    <n v="0"/>
    <n v="-131.86574178602422"/>
  </r>
  <r>
    <x v="3"/>
    <d v="2025-05-05T00:00:00"/>
    <d v="2025-05-26T00:00:00"/>
    <x v="10"/>
    <n v="9"/>
    <n v="1"/>
    <n v="1110.3699999999999"/>
    <n v="1038.9100000000001"/>
    <n v="1038.9100000000001"/>
    <n v="1110.3699999999999"/>
    <n v="-71.459999999999809"/>
    <n v="5.527129106987708"/>
    <n v="-65.932870893012108"/>
    <n v="0"/>
    <n v="0"/>
    <n v="0"/>
    <n v="-65.932870893012108"/>
  </r>
  <r>
    <x v="4"/>
    <d v="2025-06-04T00:00:00"/>
    <d v="2025-06-24T00:00:00"/>
    <x v="10"/>
    <n v="9"/>
    <n v="2"/>
    <n v="1110.3699999999999"/>
    <n v="1038.9100000000001"/>
    <n v="2077.8200000000002"/>
    <n v="2220.7399999999998"/>
    <n v="-142.91999999999962"/>
    <n v="11.054258213975416"/>
    <n v="-131.86574178602422"/>
    <n v="0"/>
    <n v="0"/>
    <n v="0"/>
    <n v="-131.86574178602422"/>
  </r>
  <r>
    <x v="5"/>
    <d v="2025-07-03T00:00:00"/>
    <d v="2025-07-24T00:00:00"/>
    <x v="10"/>
    <n v="9"/>
    <n v="3"/>
    <n v="1110.3699999999999"/>
    <n v="1038.9100000000001"/>
    <n v="3116.7300000000005"/>
    <n v="3331.1099999999997"/>
    <n v="-214.3799999999992"/>
    <n v="16.581387320963128"/>
    <n v="-197.79861267903607"/>
    <n v="0"/>
    <n v="0"/>
    <n v="0"/>
    <n v="-197.79861267903607"/>
  </r>
  <r>
    <x v="6"/>
    <d v="2025-08-05T00:00:00"/>
    <d v="2025-08-25T00:00:00"/>
    <x v="10"/>
    <n v="9"/>
    <n v="7"/>
    <n v="1110.3699999999999"/>
    <n v="1038.9100000000001"/>
    <n v="7272.3700000000008"/>
    <n v="7772.5899999999992"/>
    <n v="-500.21999999999844"/>
    <n v="38.689903748913956"/>
    <n v="-461.5300962510845"/>
    <n v="0"/>
    <n v="0"/>
    <n v="0"/>
    <n v="-461.5300962510845"/>
  </r>
  <r>
    <x v="7"/>
    <d v="2025-09-04T00:00:00"/>
    <d v="2025-09-24T00:00:00"/>
    <x v="10"/>
    <n v="9"/>
    <n v="5"/>
    <n v="1110.3699999999999"/>
    <n v="1038.9100000000001"/>
    <n v="5194.55"/>
    <n v="5551.8499999999995"/>
    <n v="-357.29999999999927"/>
    <n v="27.635645534938543"/>
    <n v="-329.66435446506074"/>
    <n v="0"/>
    <n v="0"/>
    <n v="0"/>
    <n v="-329.66435446506074"/>
  </r>
  <r>
    <x v="8"/>
    <d v="2025-10-03T00:00:00"/>
    <d v="2025-10-24T00:00:00"/>
    <x v="10"/>
    <n v="9"/>
    <n v="2"/>
    <n v="1110.3699999999999"/>
    <n v="1038.9100000000001"/>
    <n v="2077.8200000000002"/>
    <n v="2220.7399999999998"/>
    <n v="-142.91999999999962"/>
    <n v="11.054258213975416"/>
    <n v="-131.86574178602422"/>
    <n v="0"/>
    <n v="0"/>
    <n v="0"/>
    <n v="-131.86574178602422"/>
  </r>
  <r>
    <x v="9"/>
    <d v="2025-11-05T00:00:00"/>
    <d v="2025-11-24T00:00:00"/>
    <x v="10"/>
    <n v="9"/>
    <n v="3"/>
    <n v="1110.3699999999999"/>
    <n v="1038.9100000000001"/>
    <n v="3116.7300000000005"/>
    <n v="3331.1099999999997"/>
    <n v="-214.3799999999992"/>
    <n v="16.581387320963128"/>
    <n v="-197.79861267903607"/>
    <n v="0"/>
    <n v="0"/>
    <n v="0"/>
    <n v="-197.79861267903607"/>
  </r>
  <r>
    <x v="10"/>
    <d v="2025-12-03T00:00:00"/>
    <d v="2025-12-24T00:00:00"/>
    <x v="10"/>
    <n v="9"/>
    <n v="1"/>
    <n v="1110.3699999999999"/>
    <n v="1038.9100000000001"/>
    <n v="1038.9100000000001"/>
    <n v="1110.3699999999999"/>
    <n v="-71.459999999999809"/>
    <n v="5.527129106987708"/>
    <n v="-65.932870893012108"/>
    <n v="0"/>
    <n v="0"/>
    <n v="0"/>
    <n v="-65.932870893012108"/>
  </r>
  <r>
    <x v="11"/>
    <d v="2026-01-06T00:00:00"/>
    <d v="2026-01-26T00:00:00"/>
    <x v="10"/>
    <n v="9"/>
    <n v="2"/>
    <n v="1110.3699999999999"/>
    <n v="1038.9100000000001"/>
    <n v="2077.8200000000002"/>
    <n v="2220.7399999999998"/>
    <n v="-142.91999999999962"/>
    <n v="11.054258213975416"/>
    <n v="-131.86574178602422"/>
    <n v="0"/>
    <n v="0"/>
    <n v="0"/>
    <n v="-131.86574178602422"/>
  </r>
  <r>
    <x v="0"/>
    <d v="2025-02-05T00:00:00"/>
    <d v="2025-02-24T00:00:00"/>
    <x v="11"/>
    <n v="9"/>
    <n v="137"/>
    <n v="1110.3699999999999"/>
    <n v="1038.9100000000001"/>
    <n v="142330.67000000001"/>
    <n v="152120.68999999997"/>
    <n v="-9790.0199999999604"/>
    <n v="757.21668765731602"/>
    <n v="-9032.8033123426449"/>
    <n v="0"/>
    <n v="0"/>
    <n v="0"/>
    <n v="-9032.8033123426449"/>
  </r>
  <r>
    <x v="1"/>
    <d v="2025-03-05T00:00:00"/>
    <d v="2025-03-24T00:00:00"/>
    <x v="11"/>
    <n v="9"/>
    <n v="156"/>
    <n v="1110.3699999999999"/>
    <n v="1038.9100000000001"/>
    <n v="162069.96000000002"/>
    <n v="173217.71999999997"/>
    <n v="-11147.759999999951"/>
    <n v="862.23214069008259"/>
    <n v="-10285.527859309868"/>
    <n v="0"/>
    <n v="0"/>
    <n v="0"/>
    <n v="-10285.527859309868"/>
  </r>
  <r>
    <x v="2"/>
    <d v="2025-04-03T00:00:00"/>
    <d v="2025-04-24T00:00:00"/>
    <x v="11"/>
    <n v="9"/>
    <n v="113"/>
    <n v="1110.3699999999999"/>
    <n v="1038.9100000000001"/>
    <n v="117396.83000000002"/>
    <n v="125471.80999999998"/>
    <n v="-8074.9799999999668"/>
    <n v="624.56558908961108"/>
    <n v="-7450.4144109103554"/>
    <n v="0"/>
    <n v="0"/>
    <n v="0"/>
    <n v="-7450.4144109103554"/>
  </r>
  <r>
    <x v="3"/>
    <d v="2025-05-05T00:00:00"/>
    <d v="2025-05-26T00:00:00"/>
    <x v="11"/>
    <n v="9"/>
    <n v="112"/>
    <n v="1110.3699999999999"/>
    <n v="1038.9100000000001"/>
    <n v="116357.92000000001"/>
    <n v="124361.43999999999"/>
    <n v="-8003.519999999975"/>
    <n v="619.03845998262329"/>
    <n v="-7384.481540017352"/>
    <n v="0"/>
    <n v="0"/>
    <n v="0"/>
    <n v="-7384.481540017352"/>
  </r>
  <r>
    <x v="4"/>
    <d v="2025-06-04T00:00:00"/>
    <d v="2025-06-24T00:00:00"/>
    <x v="11"/>
    <n v="9"/>
    <n v="142"/>
    <n v="1110.3699999999999"/>
    <n v="1038.9100000000001"/>
    <n v="147525.22"/>
    <n v="157672.53999999998"/>
    <n v="-10147.319999999978"/>
    <n v="784.85233319225472"/>
    <n v="-9362.4676668077227"/>
    <n v="0"/>
    <n v="0"/>
    <n v="0"/>
    <n v="-9362.4676668077227"/>
  </r>
  <r>
    <x v="5"/>
    <d v="2025-07-03T00:00:00"/>
    <d v="2025-07-24T00:00:00"/>
    <x v="11"/>
    <n v="9"/>
    <n v="165"/>
    <n v="1110.3699999999999"/>
    <n v="1038.9100000000001"/>
    <n v="171420.15000000002"/>
    <n v="183211.05"/>
    <n v="-11790.899999999965"/>
    <n v="911.97630265297198"/>
    <n v="-10878.923697346992"/>
    <n v="0"/>
    <n v="0"/>
    <n v="0"/>
    <n v="-10878.923697346992"/>
  </r>
  <r>
    <x v="6"/>
    <d v="2025-08-05T00:00:00"/>
    <d v="2025-08-25T00:00:00"/>
    <x v="11"/>
    <n v="9"/>
    <n v="185"/>
    <n v="1110.3699999999999"/>
    <n v="1038.9100000000001"/>
    <n v="192198.35"/>
    <n v="205418.44999999998"/>
    <n v="-13220.099999999977"/>
    <n v="1022.5188847927261"/>
    <n v="-12197.581115207251"/>
    <n v="0"/>
    <n v="0"/>
    <n v="0"/>
    <n v="-12197.581115207251"/>
  </r>
  <r>
    <x v="7"/>
    <d v="2025-09-04T00:00:00"/>
    <d v="2025-09-24T00:00:00"/>
    <x v="11"/>
    <n v="9"/>
    <n v="191"/>
    <n v="1110.3699999999999"/>
    <n v="1038.9100000000001"/>
    <n v="198431.81000000003"/>
    <n v="212080.66999999998"/>
    <n v="-13648.859999999957"/>
    <n v="1055.6816594346524"/>
    <n v="-12593.178340565304"/>
    <n v="0"/>
    <n v="0"/>
    <n v="0"/>
    <n v="-12593.178340565304"/>
  </r>
  <r>
    <x v="8"/>
    <d v="2025-10-03T00:00:00"/>
    <d v="2025-10-24T00:00:00"/>
    <x v="11"/>
    <n v="9"/>
    <n v="140"/>
    <n v="1110.3699999999999"/>
    <n v="1038.9100000000001"/>
    <n v="145447.40000000002"/>
    <n v="155451.79999999999"/>
    <n v="-10004.399999999965"/>
    <n v="773.79807497827926"/>
    <n v="-9230.601925021685"/>
    <n v="0"/>
    <n v="0"/>
    <n v="0"/>
    <n v="-9230.601925021685"/>
  </r>
  <r>
    <x v="9"/>
    <d v="2025-11-05T00:00:00"/>
    <d v="2025-11-24T00:00:00"/>
    <x v="11"/>
    <n v="9"/>
    <n v="137"/>
    <n v="1110.3699999999999"/>
    <n v="1038.9100000000001"/>
    <n v="142330.67000000001"/>
    <n v="152120.68999999997"/>
    <n v="-9790.0199999999604"/>
    <n v="757.21668765731602"/>
    <n v="-9032.8033123426449"/>
    <n v="0"/>
    <n v="0"/>
    <n v="0"/>
    <n v="-9032.8033123426449"/>
  </r>
  <r>
    <x v="10"/>
    <d v="2025-12-03T00:00:00"/>
    <d v="2025-12-24T00:00:00"/>
    <x v="11"/>
    <n v="9"/>
    <n v="120"/>
    <n v="1110.3699999999999"/>
    <n v="1038.9100000000001"/>
    <n v="124669.20000000001"/>
    <n v="133244.4"/>
    <n v="-8575.1999999999825"/>
    <n v="663.25549283852502"/>
    <n v="-7911.9445071614573"/>
    <n v="0"/>
    <n v="0"/>
    <n v="0"/>
    <n v="-7911.9445071614573"/>
  </r>
  <r>
    <x v="11"/>
    <d v="2026-01-06T00:00:00"/>
    <d v="2026-01-26T00:00:00"/>
    <x v="11"/>
    <n v="9"/>
    <n v="128"/>
    <n v="1110.3699999999999"/>
    <n v="1038.9100000000001"/>
    <n v="132980.48000000001"/>
    <n v="142127.35999999999"/>
    <n v="-9146.8799999999756"/>
    <n v="707.47252569442662"/>
    <n v="-8439.4074743055498"/>
    <n v="0"/>
    <n v="0"/>
    <n v="0"/>
    <n v="-8439.4074743055498"/>
  </r>
  <r>
    <x v="0"/>
    <d v="2025-02-05T00:00:00"/>
    <d v="2025-02-24T00:00:00"/>
    <x v="12"/>
    <n v="9"/>
    <n v="11"/>
    <n v="1110.3699999999999"/>
    <n v="1038.9100000000001"/>
    <n v="11428.01"/>
    <n v="12214.07"/>
    <n v="-786.05999999999949"/>
    <n v="60.798420176864802"/>
    <n v="-725.26157982313464"/>
    <n v="0"/>
    <n v="0"/>
    <n v="0"/>
    <n v="-725.26157982313464"/>
  </r>
  <r>
    <x v="1"/>
    <d v="2025-03-05T00:00:00"/>
    <d v="2025-03-24T00:00:00"/>
    <x v="12"/>
    <n v="9"/>
    <n v="9"/>
    <n v="1110.3699999999999"/>
    <n v="1038.9100000000001"/>
    <n v="9350.19"/>
    <n v="9993.3299999999981"/>
    <n v="-643.1399999999976"/>
    <n v="49.744161962889379"/>
    <n v="-593.39583803710821"/>
    <n v="0"/>
    <n v="0"/>
    <n v="0"/>
    <n v="-593.39583803710821"/>
  </r>
  <r>
    <x v="2"/>
    <d v="2025-04-03T00:00:00"/>
    <d v="2025-04-24T00:00:00"/>
    <x v="12"/>
    <n v="9"/>
    <n v="8"/>
    <n v="1110.3699999999999"/>
    <n v="1038.9100000000001"/>
    <n v="8311.2800000000007"/>
    <n v="8882.9599999999991"/>
    <n v="-571.67999999999847"/>
    <n v="44.217032855901664"/>
    <n v="-527.46296714409687"/>
    <n v="0"/>
    <n v="0"/>
    <n v="0"/>
    <n v="-527.46296714409687"/>
  </r>
  <r>
    <x v="3"/>
    <d v="2025-05-05T00:00:00"/>
    <d v="2025-05-26T00:00:00"/>
    <x v="12"/>
    <n v="9"/>
    <n v="10"/>
    <n v="1110.3699999999999"/>
    <n v="1038.9100000000001"/>
    <n v="10389.1"/>
    <n v="11103.699999999999"/>
    <n v="-714.59999999999854"/>
    <n v="55.271291069877087"/>
    <n v="-659.32870893012148"/>
    <n v="0"/>
    <n v="0"/>
    <n v="0"/>
    <n v="-659.32870893012148"/>
  </r>
  <r>
    <x v="4"/>
    <d v="2025-06-04T00:00:00"/>
    <d v="2025-06-24T00:00:00"/>
    <x v="12"/>
    <n v="9"/>
    <n v="11"/>
    <n v="1110.3699999999999"/>
    <n v="1038.9100000000001"/>
    <n v="11428.01"/>
    <n v="12214.07"/>
    <n v="-786.05999999999949"/>
    <n v="60.798420176864802"/>
    <n v="-725.26157982313464"/>
    <n v="0"/>
    <n v="0"/>
    <n v="0"/>
    <n v="-725.26157982313464"/>
  </r>
  <r>
    <x v="5"/>
    <d v="2025-07-03T00:00:00"/>
    <d v="2025-07-24T00:00:00"/>
    <x v="12"/>
    <n v="9"/>
    <n v="11"/>
    <n v="1110.3699999999999"/>
    <n v="1038.9100000000001"/>
    <n v="11428.01"/>
    <n v="12214.07"/>
    <n v="-786.05999999999949"/>
    <n v="60.798420176864802"/>
    <n v="-725.26157982313464"/>
    <n v="0"/>
    <n v="0"/>
    <n v="0"/>
    <n v="-725.26157982313464"/>
  </r>
  <r>
    <x v="6"/>
    <d v="2025-08-05T00:00:00"/>
    <d v="2025-08-25T00:00:00"/>
    <x v="12"/>
    <n v="9"/>
    <n v="14"/>
    <n v="1110.3699999999999"/>
    <n v="1038.9100000000001"/>
    <n v="14544.740000000002"/>
    <n v="15545.179999999998"/>
    <n v="-1000.4399999999969"/>
    <n v="77.379807497827912"/>
    <n v="-923.060192502169"/>
    <n v="0"/>
    <n v="0"/>
    <n v="0"/>
    <n v="-923.060192502169"/>
  </r>
  <r>
    <x v="7"/>
    <d v="2025-09-04T00:00:00"/>
    <d v="2025-09-24T00:00:00"/>
    <x v="12"/>
    <n v="9"/>
    <n v="11"/>
    <n v="1110.3699999999999"/>
    <n v="1038.9100000000001"/>
    <n v="11428.01"/>
    <n v="12214.07"/>
    <n v="-786.05999999999949"/>
    <n v="60.798420176864802"/>
    <n v="-725.26157982313464"/>
    <n v="0"/>
    <n v="0"/>
    <n v="0"/>
    <n v="-725.26157982313464"/>
  </r>
  <r>
    <x v="8"/>
    <d v="2025-10-03T00:00:00"/>
    <d v="2025-10-24T00:00:00"/>
    <x v="12"/>
    <n v="9"/>
    <n v="12"/>
    <n v="1110.3699999999999"/>
    <n v="1038.9100000000001"/>
    <n v="12466.920000000002"/>
    <n v="13324.439999999999"/>
    <n v="-857.5199999999968"/>
    <n v="66.32554928385251"/>
    <n v="-791.19445071614427"/>
    <n v="0"/>
    <n v="0"/>
    <n v="0"/>
    <n v="-791.19445071614427"/>
  </r>
  <r>
    <x v="9"/>
    <d v="2025-11-05T00:00:00"/>
    <d v="2025-11-24T00:00:00"/>
    <x v="12"/>
    <n v="9"/>
    <n v="13"/>
    <n v="1110.3699999999999"/>
    <n v="1038.9100000000001"/>
    <n v="13505.830000000002"/>
    <n v="14434.809999999998"/>
    <n v="-928.97999999999593"/>
    <n v="71.852678390840211"/>
    <n v="-857.12732160915573"/>
    <n v="0"/>
    <n v="0"/>
    <n v="0"/>
    <n v="-857.12732160915573"/>
  </r>
  <r>
    <x v="10"/>
    <d v="2025-12-03T00:00:00"/>
    <d v="2025-12-24T00:00:00"/>
    <x v="12"/>
    <n v="9"/>
    <n v="10"/>
    <n v="1110.3699999999999"/>
    <n v="1038.9100000000001"/>
    <n v="10389.1"/>
    <n v="11103.699999999999"/>
    <n v="-714.59999999999854"/>
    <n v="55.271291069877087"/>
    <n v="-659.32870893012148"/>
    <n v="0"/>
    <n v="0"/>
    <n v="0"/>
    <n v="-659.32870893012148"/>
  </r>
  <r>
    <x v="11"/>
    <d v="2026-01-06T00:00:00"/>
    <d v="2026-01-26T00:00:00"/>
    <x v="12"/>
    <n v="9"/>
    <n v="7"/>
    <n v="1110.3699999999999"/>
    <n v="1038.9100000000001"/>
    <n v="7272.3700000000008"/>
    <n v="7772.5899999999992"/>
    <n v="-500.21999999999844"/>
    <n v="38.689903748913956"/>
    <n v="-461.5300962510845"/>
    <n v="0"/>
    <n v="0"/>
    <n v="0"/>
    <n v="-461.5300962510845"/>
  </r>
  <r>
    <x v="0"/>
    <d v="2025-02-05T00:00:00"/>
    <d v="2025-02-24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1"/>
    <d v="2025-03-05T00:00:00"/>
    <d v="2025-03-24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2"/>
    <d v="2025-04-03T00:00:00"/>
    <d v="2025-04-24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3"/>
    <d v="2025-05-05T00:00:00"/>
    <d v="2025-05-26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4"/>
    <d v="2025-06-04T00:00:00"/>
    <d v="2025-06-24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5"/>
    <d v="2025-07-03T00:00:00"/>
    <d v="2025-07-24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6"/>
    <d v="2025-08-05T00:00:00"/>
    <d v="2025-08-25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7"/>
    <d v="2025-09-04T00:00:00"/>
    <d v="2025-09-24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8"/>
    <d v="2025-10-03T00:00:00"/>
    <d v="2025-10-24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9"/>
    <d v="2025-11-05T00:00:00"/>
    <d v="2025-11-24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10"/>
    <d v="2025-12-03T00:00:00"/>
    <d v="2025-12-24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11"/>
    <d v="2026-01-06T00:00:00"/>
    <d v="2026-01-26T00:00:00"/>
    <x v="13"/>
    <n v="9"/>
    <n v="0"/>
    <n v="1110.3699999999999"/>
    <n v="1038.9100000000001"/>
    <n v="0"/>
    <n v="0"/>
    <n v="0"/>
    <n v="0"/>
    <n v="0"/>
    <n v="0"/>
    <n v="0"/>
    <n v="0"/>
    <n v="0"/>
  </r>
  <r>
    <x v="0"/>
    <d v="2025-02-05T00:00:00"/>
    <d v="2025-02-24T00:00:00"/>
    <x v="14"/>
    <n v="9"/>
    <n v="37"/>
    <n v="1110.3699999999999"/>
    <n v="1038.9100000000001"/>
    <n v="38439.670000000006"/>
    <n v="41083.689999999995"/>
    <n v="-2644.0199999999895"/>
    <n v="204.50377695854522"/>
    <n v="-2439.5162230414444"/>
    <n v="0"/>
    <n v="0"/>
    <n v="0"/>
    <n v="-2439.5162230414444"/>
  </r>
  <r>
    <x v="1"/>
    <d v="2025-03-05T00:00:00"/>
    <d v="2025-03-24T00:00:00"/>
    <x v="14"/>
    <n v="9"/>
    <n v="42"/>
    <n v="1110.3699999999999"/>
    <n v="1038.9100000000001"/>
    <n v="43634.22"/>
    <n v="46635.539999999994"/>
    <n v="-3001.3199999999924"/>
    <n v="232.13942249348375"/>
    <n v="-2769.1805775065086"/>
    <n v="0"/>
    <n v="0"/>
    <n v="0"/>
    <n v="-2769.1805775065086"/>
  </r>
  <r>
    <x v="2"/>
    <d v="2025-04-03T00:00:00"/>
    <d v="2025-04-24T00:00:00"/>
    <x v="14"/>
    <n v="9"/>
    <n v="30"/>
    <n v="1110.3699999999999"/>
    <n v="1038.9100000000001"/>
    <n v="31167.300000000003"/>
    <n v="33311.1"/>
    <n v="-2143.7999999999956"/>
    <n v="165.81387320963125"/>
    <n v="-1977.9861267903643"/>
    <n v="0"/>
    <n v="0"/>
    <n v="0"/>
    <n v="-1977.9861267903643"/>
  </r>
  <r>
    <x v="3"/>
    <d v="2025-05-05T00:00:00"/>
    <d v="2025-05-26T00:00:00"/>
    <x v="14"/>
    <n v="9"/>
    <n v="32"/>
    <n v="1110.3699999999999"/>
    <n v="1038.9100000000001"/>
    <n v="33245.120000000003"/>
    <n v="35531.839999999997"/>
    <n v="-2286.7199999999939"/>
    <n v="176.86813142360666"/>
    <n v="-2109.8518685763875"/>
    <n v="0"/>
    <n v="0"/>
    <n v="0"/>
    <n v="-2109.8518685763875"/>
  </r>
  <r>
    <x v="4"/>
    <d v="2025-06-04T00:00:00"/>
    <d v="2025-06-24T00:00:00"/>
    <x v="14"/>
    <n v="9"/>
    <n v="39"/>
    <n v="1110.3699999999999"/>
    <n v="1038.9100000000001"/>
    <n v="40517.490000000005"/>
    <n v="43304.429999999993"/>
    <n v="-2786.9399999999878"/>
    <n v="215.55803517252065"/>
    <n v="-2571.3819648274671"/>
    <n v="0"/>
    <n v="0"/>
    <n v="0"/>
    <n v="-2571.3819648274671"/>
  </r>
  <r>
    <x v="5"/>
    <d v="2025-07-03T00:00:00"/>
    <d v="2025-07-24T00:00:00"/>
    <x v="14"/>
    <n v="9"/>
    <n v="47"/>
    <n v="1110.3699999999999"/>
    <n v="1038.9100000000001"/>
    <n v="48828.770000000004"/>
    <n v="52187.389999999992"/>
    <n v="-3358.6199999999881"/>
    <n v="259.77506802842231"/>
    <n v="-3098.8449319715655"/>
    <n v="0"/>
    <n v="0"/>
    <n v="0"/>
    <n v="-3098.8449319715655"/>
  </r>
  <r>
    <x v="6"/>
    <d v="2025-08-05T00:00:00"/>
    <d v="2025-08-25T00:00:00"/>
    <x v="14"/>
    <n v="9"/>
    <n v="53"/>
    <n v="1110.3699999999999"/>
    <n v="1038.9100000000001"/>
    <n v="55062.23"/>
    <n v="58849.609999999993"/>
    <n v="-3787.3799999999901"/>
    <n v="292.93784267034857"/>
    <n v="-3494.4421573296413"/>
    <n v="0"/>
    <n v="0"/>
    <n v="0"/>
    <n v="-3494.4421573296413"/>
  </r>
  <r>
    <x v="7"/>
    <d v="2025-09-04T00:00:00"/>
    <d v="2025-09-24T00:00:00"/>
    <x v="14"/>
    <n v="9"/>
    <n v="52"/>
    <n v="1110.3699999999999"/>
    <n v="1038.9100000000001"/>
    <n v="54023.320000000007"/>
    <n v="57739.239999999991"/>
    <n v="-3715.9199999999837"/>
    <n v="287.41071356336084"/>
    <n v="-3428.5092864366229"/>
    <n v="0"/>
    <n v="0"/>
    <n v="0"/>
    <n v="-3428.5092864366229"/>
  </r>
  <r>
    <x v="8"/>
    <d v="2025-10-03T00:00:00"/>
    <d v="2025-10-24T00:00:00"/>
    <x v="14"/>
    <n v="9"/>
    <n v="45"/>
    <n v="1110.3699999999999"/>
    <n v="1038.9100000000001"/>
    <n v="46750.950000000004"/>
    <n v="49966.649999999994"/>
    <n v="-3215.6999999999898"/>
    <n v="248.72080981444688"/>
    <n v="-2966.9791901855428"/>
    <n v="0"/>
    <n v="0"/>
    <n v="0"/>
    <n v="-2966.9791901855428"/>
  </r>
  <r>
    <x v="9"/>
    <d v="2025-11-05T00:00:00"/>
    <d v="2025-11-24T00:00:00"/>
    <x v="14"/>
    <n v="9"/>
    <n v="41"/>
    <n v="1110.3699999999999"/>
    <n v="1038.9100000000001"/>
    <n v="42595.310000000005"/>
    <n v="45525.17"/>
    <n v="-2929.8599999999933"/>
    <n v="226.61229338649605"/>
    <n v="-2703.247706613497"/>
    <n v="0"/>
    <n v="0"/>
    <n v="0"/>
    <n v="-2703.247706613497"/>
  </r>
  <r>
    <x v="10"/>
    <d v="2025-12-03T00:00:00"/>
    <d v="2025-12-24T00:00:00"/>
    <x v="14"/>
    <n v="9"/>
    <n v="29"/>
    <n v="1110.3699999999999"/>
    <n v="1038.9100000000001"/>
    <n v="30128.390000000003"/>
    <n v="32200.729999999996"/>
    <n v="-2072.3399999999929"/>
    <n v="160.28674410264355"/>
    <n v="-1912.0532558973493"/>
    <n v="0"/>
    <n v="0"/>
    <n v="0"/>
    <n v="-1912.0532558973493"/>
  </r>
  <r>
    <x v="11"/>
    <d v="2026-01-06T00:00:00"/>
    <d v="2026-01-26T00:00:00"/>
    <x v="14"/>
    <n v="9"/>
    <n v="36"/>
    <n v="1110.3699999999999"/>
    <n v="1038.9100000000001"/>
    <n v="37400.76"/>
    <n v="39973.319999999992"/>
    <n v="-2572.5599999999904"/>
    <n v="198.97664785155752"/>
    <n v="-2373.5833521484328"/>
    <n v="0"/>
    <n v="0"/>
    <n v="0"/>
    <n v="-2373.5833521484328"/>
  </r>
  <r>
    <x v="0"/>
    <d v="2025-02-05T00:00:00"/>
    <d v="2025-02-24T00:00:00"/>
    <x v="15"/>
    <n v="9"/>
    <n v="106"/>
    <n v="1110.3699999999999"/>
    <n v="1038.9100000000001"/>
    <n v="110124.46"/>
    <n v="117699.21999999999"/>
    <n v="-7574.7599999999802"/>
    <n v="585.87568534069715"/>
    <n v="-6988.8843146592826"/>
    <n v="0"/>
    <n v="0"/>
    <n v="0"/>
    <n v="-6988.8843146592826"/>
  </r>
  <r>
    <x v="1"/>
    <d v="2025-03-05T00:00:00"/>
    <d v="2025-03-24T00:00:00"/>
    <x v="15"/>
    <n v="9"/>
    <n v="102"/>
    <n v="1110.3699999999999"/>
    <n v="1038.9100000000001"/>
    <n v="105968.82"/>
    <n v="113257.73999999999"/>
    <n v="-7288.9199999999837"/>
    <n v="563.76716891274634"/>
    <n v="-6725.1528310872372"/>
    <n v="0"/>
    <n v="0"/>
    <n v="0"/>
    <n v="-6725.1528310872372"/>
  </r>
  <r>
    <x v="2"/>
    <d v="2025-04-03T00:00:00"/>
    <d v="2025-04-24T00:00:00"/>
    <x v="15"/>
    <n v="9"/>
    <n v="100"/>
    <n v="1110.3699999999999"/>
    <n v="1038.9100000000001"/>
    <n v="103891.00000000001"/>
    <n v="111036.99999999999"/>
    <n v="-7145.9999999999709"/>
    <n v="552.71291069877088"/>
    <n v="-6593.2870893012005"/>
    <n v="0"/>
    <n v="0"/>
    <n v="0"/>
    <n v="-6593.2870893012005"/>
  </r>
  <r>
    <x v="3"/>
    <d v="2025-05-05T00:00:00"/>
    <d v="2025-05-26T00:00:00"/>
    <x v="15"/>
    <n v="9"/>
    <n v="60"/>
    <n v="1110.3699999999999"/>
    <n v="1038.9100000000001"/>
    <n v="62334.600000000006"/>
    <n v="66622.2"/>
    <n v="-4287.5999999999913"/>
    <n v="331.62774641926251"/>
    <n v="-3955.9722535807286"/>
    <n v="0"/>
    <n v="0"/>
    <n v="0"/>
    <n v="-3955.9722535807286"/>
  </r>
  <r>
    <x v="4"/>
    <d v="2025-06-04T00:00:00"/>
    <d v="2025-06-24T00:00:00"/>
    <x v="15"/>
    <n v="9"/>
    <n v="96"/>
    <n v="1110.3699999999999"/>
    <n v="1038.9100000000001"/>
    <n v="99735.360000000015"/>
    <n v="106595.51999999999"/>
    <n v="-6860.1599999999744"/>
    <n v="530.60439427082008"/>
    <n v="-6329.5556057291542"/>
    <n v="0"/>
    <n v="0"/>
    <n v="0"/>
    <n v="-6329.5556057291542"/>
  </r>
  <r>
    <x v="5"/>
    <d v="2025-07-03T00:00:00"/>
    <d v="2025-07-24T00:00:00"/>
    <x v="15"/>
    <n v="9"/>
    <n v="119"/>
    <n v="1110.3699999999999"/>
    <n v="1038.9100000000001"/>
    <n v="123630.29000000001"/>
    <n v="132134.03"/>
    <n v="-8503.7399999999907"/>
    <n v="657.72836373153734"/>
    <n v="-7846.011636268453"/>
    <n v="0"/>
    <n v="0"/>
    <n v="0"/>
    <n v="-7846.011636268453"/>
  </r>
  <r>
    <x v="6"/>
    <d v="2025-08-05T00:00:00"/>
    <d v="2025-08-25T00:00:00"/>
    <x v="15"/>
    <n v="9"/>
    <n v="118"/>
    <n v="1110.3699999999999"/>
    <n v="1038.9100000000001"/>
    <n v="122591.38"/>
    <n v="131023.65999999999"/>
    <n v="-8432.2799999999843"/>
    <n v="652.20123462454967"/>
    <n v="-7780.0787653754342"/>
    <n v="0"/>
    <n v="0"/>
    <n v="0"/>
    <n v="-7780.0787653754342"/>
  </r>
  <r>
    <x v="7"/>
    <d v="2025-09-04T00:00:00"/>
    <d v="2025-09-24T00:00:00"/>
    <x v="15"/>
    <n v="9"/>
    <n v="119"/>
    <n v="1110.3699999999999"/>
    <n v="1038.9100000000001"/>
    <n v="123630.29000000001"/>
    <n v="132134.03"/>
    <n v="-8503.7399999999907"/>
    <n v="657.72836373153734"/>
    <n v="-7846.011636268453"/>
    <n v="0"/>
    <n v="0"/>
    <n v="0"/>
    <n v="-7846.011636268453"/>
  </r>
  <r>
    <x v="8"/>
    <d v="2025-10-03T00:00:00"/>
    <d v="2025-10-24T00:00:00"/>
    <x v="15"/>
    <n v="9"/>
    <n v="101"/>
    <n v="1110.3699999999999"/>
    <n v="1038.9100000000001"/>
    <n v="104929.91"/>
    <n v="112147.37"/>
    <n v="-7217.4599999999919"/>
    <n v="558.24003980575856"/>
    <n v="-6659.219960194233"/>
    <n v="0"/>
    <n v="0"/>
    <n v="0"/>
    <n v="-6659.219960194233"/>
  </r>
  <r>
    <x v="9"/>
    <d v="2025-11-05T00:00:00"/>
    <d v="2025-11-24T00:00:00"/>
    <x v="15"/>
    <n v="9"/>
    <n v="106"/>
    <n v="1110.3699999999999"/>
    <n v="1038.9100000000001"/>
    <n v="110124.46"/>
    <n v="117699.21999999999"/>
    <n v="-7574.7599999999802"/>
    <n v="585.87568534069715"/>
    <n v="-6988.8843146592826"/>
    <n v="0"/>
    <n v="0"/>
    <n v="0"/>
    <n v="-6988.8843146592826"/>
  </r>
  <r>
    <x v="10"/>
    <d v="2025-12-03T00:00:00"/>
    <d v="2025-12-24T00:00:00"/>
    <x v="15"/>
    <n v="9"/>
    <n v="35"/>
    <n v="1110.3699999999999"/>
    <n v="1038.9100000000001"/>
    <n v="36361.850000000006"/>
    <n v="38862.949999999997"/>
    <n v="-2501.0999999999913"/>
    <n v="193.44951874456981"/>
    <n v="-2307.6504812554213"/>
    <n v="0"/>
    <n v="0"/>
    <n v="0"/>
    <n v="-2307.6504812554213"/>
  </r>
  <r>
    <x v="11"/>
    <d v="2026-01-06T00:00:00"/>
    <d v="2026-01-26T00:00:00"/>
    <x v="15"/>
    <n v="9"/>
    <n v="103"/>
    <n v="1110.3699999999999"/>
    <n v="1038.9100000000001"/>
    <n v="107007.73000000001"/>
    <n v="114368.10999999999"/>
    <n v="-7360.3799999999756"/>
    <n v="569.29429801973401"/>
    <n v="-6791.0857019802415"/>
    <n v="0"/>
    <n v="0"/>
    <n v="0"/>
    <n v="-6791.08570198024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2" cacheId="9" dataOnRows="1" applyNumberFormats="0" applyBorderFormats="0" applyFontFormats="0" applyPatternFormats="0" applyAlignmentFormats="0" applyWidthHeightFormats="1" dataCaption="Data" updatedVersion="8" minRefreshableVersion="3" asteriskTotals="1" showMemberPropertyTips="0" useAutoFormatting="1" itemPrintTitles="1" createdVersion="6" indent="0" compact="0" compactData="0" gridDropZones="1">
  <location ref="A3:O123" firstHeaderRow="1" firstDataRow="2" firstDataCol="2"/>
  <pivotFields count="17">
    <pivotField axis="axisCol" compact="0" numFmtId="17" outline="0" subtotalTop="0" showAll="0" includeNewItemsInFilter="1">
      <items count="193">
        <item m="1" x="93"/>
        <item m="1" x="117"/>
        <item m="1" x="141"/>
        <item m="1" x="165"/>
        <item m="1" x="189"/>
        <item m="1" x="69"/>
        <item m="1" x="104"/>
        <item m="1" x="128"/>
        <item m="1" x="152"/>
        <item m="1" x="176"/>
        <item m="1" x="56"/>
        <item m="1" x="80"/>
        <item m="1" x="94"/>
        <item m="1" x="118"/>
        <item m="1" x="142"/>
        <item m="1" x="166"/>
        <item m="1" x="190"/>
        <item m="1" x="70"/>
        <item m="1" x="106"/>
        <item m="1" x="130"/>
        <item m="1" x="154"/>
        <item m="1" x="178"/>
        <item m="1" x="58"/>
        <item m="1" x="82"/>
        <item m="1" x="95"/>
        <item m="1" x="119"/>
        <item m="1" x="143"/>
        <item m="1" x="167"/>
        <item m="1" x="191"/>
        <item m="1" x="71"/>
        <item m="1" x="107"/>
        <item m="1" x="131"/>
        <item m="1" x="155"/>
        <item m="1" x="179"/>
        <item m="1" x="59"/>
        <item m="1" x="83"/>
        <item m="1" x="96"/>
        <item m="1" x="120"/>
        <item m="1" x="144"/>
        <item m="1" x="168"/>
        <item m="1" x="48"/>
        <item m="1" x="72"/>
        <item m="1" x="108"/>
        <item m="1" x="132"/>
        <item m="1" x="156"/>
        <item m="1" x="180"/>
        <item m="1" x="60"/>
        <item m="1" x="84"/>
        <item m="1" x="97"/>
        <item m="1" x="121"/>
        <item m="1" x="145"/>
        <item m="1" x="169"/>
        <item m="1" x="49"/>
        <item m="1" x="73"/>
        <item m="1" x="109"/>
        <item m="1" x="133"/>
        <item m="1" x="157"/>
        <item m="1" x="181"/>
        <item m="1" x="61"/>
        <item m="1" x="85"/>
        <item m="1" x="98"/>
        <item m="1" x="122"/>
        <item m="1" x="146"/>
        <item m="1" x="170"/>
        <item m="1" x="50"/>
        <item m="1" x="74"/>
        <item m="1" x="110"/>
        <item m="1" x="134"/>
        <item m="1" x="158"/>
        <item m="1" x="182"/>
        <item m="1" x="62"/>
        <item m="1" x="86"/>
        <item m="1" x="99"/>
        <item m="1" x="123"/>
        <item m="1" x="147"/>
        <item m="1" x="171"/>
        <item m="1" x="51"/>
        <item m="1" x="75"/>
        <item m="1" x="111"/>
        <item m="1" x="135"/>
        <item m="1" x="159"/>
        <item m="1" x="183"/>
        <item m="1" x="63"/>
        <item m="1" x="87"/>
        <item m="1" x="100"/>
        <item m="1" x="124"/>
        <item m="1" x="148"/>
        <item m="1" x="172"/>
        <item m="1" x="52"/>
        <item m="1" x="76"/>
        <item m="1" x="112"/>
        <item m="1" x="136"/>
        <item m="1" x="160"/>
        <item m="1" x="184"/>
        <item m="1" x="64"/>
        <item m="1" x="88"/>
        <item m="1" x="101"/>
        <item m="1" x="125"/>
        <item m="1" x="149"/>
        <item m="1" x="173"/>
        <item m="1" x="53"/>
        <item m="1" x="77"/>
        <item m="1" x="113"/>
        <item m="1" x="137"/>
        <item m="1" x="161"/>
        <item m="1" x="185"/>
        <item m="1" x="65"/>
        <item m="1" x="89"/>
        <item m="1" x="102"/>
        <item m="1" x="126"/>
        <item m="1" x="150"/>
        <item m="1" x="174"/>
        <item m="1" x="54"/>
        <item m="1" x="78"/>
        <item m="1" x="114"/>
        <item m="1" x="138"/>
        <item m="1" x="162"/>
        <item m="1" x="186"/>
        <item m="1" x="66"/>
        <item m="1" x="90"/>
        <item m="1" x="103"/>
        <item m="1" x="127"/>
        <item m="1" x="151"/>
        <item m="1" x="175"/>
        <item m="1" x="55"/>
        <item m="1" x="79"/>
        <item m="1" x="115"/>
        <item m="1" x="139"/>
        <item m="1" x="163"/>
        <item m="1" x="187"/>
        <item m="1" x="67"/>
        <item m="1" x="91"/>
        <item m="1" x="105"/>
        <item m="1" x="129"/>
        <item m="1" x="153"/>
        <item m="1" x="177"/>
        <item m="1" x="57"/>
        <item m="1" x="81"/>
        <item m="1" x="116"/>
        <item m="1" x="140"/>
        <item m="1" x="164"/>
        <item m="1" x="188"/>
        <item m="1" x="68"/>
        <item m="1" x="92"/>
        <item m="1" x="36"/>
        <item m="1" x="37"/>
        <item m="1" x="38"/>
        <item m="1" x="39"/>
        <item m="1" x="40"/>
        <item m="1" x="41"/>
        <item m="1" x="42"/>
        <item m="1" x="43"/>
        <item m="1" x="44"/>
        <item m="1" x="45"/>
        <item m="1" x="46"/>
        <item m="1" x="47"/>
        <item m="1" x="24"/>
        <item m="1" x="25"/>
        <item m="1" x="26"/>
        <item m="1" x="27"/>
        <item m="1" x="28"/>
        <item m="1" x="29"/>
        <item m="1" x="30"/>
        <item m="1" x="31"/>
        <item m="1" x="32"/>
        <item m="1" x="33"/>
        <item m="1" x="34"/>
        <item m="1" x="35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m="1" x="22"/>
        <item m="1" x="2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t="default"/>
      </items>
    </pivotField>
    <pivotField compact="0" numFmtId="14" outline="0" subtotalTop="0" showAll="0" includeNewItemsInFilter="1"/>
    <pivotField compact="0" numFmtId="14" outline="0" subtotalTop="0" showAll="0" includeNewItemsInFilter="1"/>
    <pivotField axis="axisRow" compact="0" outline="0" subtotalTop="0" showAll="0" includeNewItemsInFilter="1">
      <items count="23">
        <item x="3"/>
        <item m="1" x="16"/>
        <item x="15"/>
        <item x="8"/>
        <item x="9"/>
        <item m="1" x="17"/>
        <item x="10"/>
        <item m="1" x="18"/>
        <item x="7"/>
        <item x="6"/>
        <item m="1" x="20"/>
        <item x="0"/>
        <item x="1"/>
        <item m="1" x="19"/>
        <item x="5"/>
        <item m="1" x="21"/>
        <item x="11"/>
        <item x="12"/>
        <item x="13"/>
        <item x="14"/>
        <item x="2"/>
        <item x="4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numFmtId="164" outline="0" subtotalTop="0" showAll="0" includeNewItemsInFilter="1"/>
    <pivotField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dataField="1" compact="0" numFmtId="164" outline="0" subtotalTop="0" showAll="0" includeNewItemsInFilter="1"/>
    <pivotField compact="0" numFmtId="164" outline="0" showAll="0"/>
    <pivotField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/>
  </pivotFields>
  <rowFields count="2">
    <field x="3"/>
    <field x="-2"/>
  </rowFields>
  <rowItems count="119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9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2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0"/>
  </colFields>
  <colItems count="13"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 t="grand">
      <x/>
    </i>
  </colItems>
  <dataFields count="7">
    <dataField name="Sum of True-Up Charge" fld="8" baseField="0" baseItem="0"/>
    <dataField name="Sum of True-Up w/o Interest" fld="10" baseField="0" baseItem="0"/>
    <dataField name="Sum of Interest" fld="11" baseField="0" baseItem="0"/>
    <dataField name="Sum of Total True-up" fld="16" baseField="0" baseItem="0"/>
    <dataField name="Sum of Invoiced*** Charge (proj.)" fld="9" baseField="0" baseItem="0"/>
    <dataField name="Sum of Tax True Up Billing" fld="14" baseField="0" baseItem="0"/>
    <dataField name="Sum of Tax True Up" fld="15" baseField="0" baseItem="0"/>
  </dataFields>
  <formats count="171">
    <format dxfId="17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0"/>
          </reference>
        </references>
      </pivotArea>
    </format>
    <format dxfId="16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"/>
          </reference>
        </references>
      </pivotArea>
    </format>
    <format dxfId="16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2"/>
          </reference>
        </references>
      </pivotArea>
    </format>
    <format dxfId="16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3"/>
          </reference>
        </references>
      </pivotArea>
    </format>
    <format dxfId="16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4"/>
          </reference>
        </references>
      </pivotArea>
    </format>
    <format dxfId="164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5"/>
          </reference>
        </references>
      </pivotArea>
    </format>
    <format dxfId="163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6"/>
          </reference>
        </references>
      </pivotArea>
    </format>
    <format dxfId="162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7"/>
          </reference>
        </references>
      </pivotArea>
    </format>
    <format dxfId="161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8"/>
          </reference>
        </references>
      </pivotArea>
    </format>
    <format dxfId="160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9"/>
          </reference>
        </references>
      </pivotArea>
    </format>
    <format dxfId="159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0"/>
          </reference>
        </references>
      </pivotArea>
    </format>
    <format dxfId="158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1"/>
          </reference>
        </references>
      </pivotArea>
    </format>
    <format dxfId="157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2"/>
          </reference>
        </references>
      </pivotArea>
    </format>
    <format dxfId="156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3"/>
          </reference>
        </references>
      </pivotArea>
    </format>
    <format dxfId="155">
      <pivotArea outline="0" fieldPosition="0">
        <references count="2">
          <reference field="4294967294" count="3" selected="0">
            <x v="1"/>
            <x v="2"/>
            <x v="3"/>
          </reference>
          <reference field="3" count="1" selected="0">
            <x v="14"/>
          </reference>
        </references>
      </pivotArea>
    </format>
    <format dxfId="154">
      <pivotArea field="3" grandRow="1" outline="0" axis="axisRow" fieldPosition="0">
        <references count="1">
          <reference field="4294967294" count="3" selected="0">
            <x v="1"/>
            <x v="2"/>
            <x v="3"/>
          </reference>
        </references>
      </pivotArea>
    </format>
    <format dxfId="153">
      <pivotArea outline="0" fieldPosition="0">
        <references count="3">
          <reference field="4294967294" count="1" selected="0">
            <x v="2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2">
      <pivotArea outline="0" fieldPosition="0">
        <references count="3">
          <reference field="4294967294" count="1" selected="0">
            <x v="3"/>
          </reference>
          <reference field="0" count="1" selected="0">
            <x v="60"/>
          </reference>
          <reference field="3" count="1" selected="0">
            <x v="20"/>
          </reference>
        </references>
      </pivotArea>
    </format>
    <format dxfId="151">
      <pivotArea grandRow="1" grandCol="1" outline="0" fieldPosition="0">
        <references count="1">
          <reference field="4294967294" count="5" selected="0">
            <x v="0"/>
            <x v="1"/>
            <x v="2"/>
            <x v="3"/>
            <x v="4"/>
          </reference>
        </references>
      </pivotArea>
    </format>
    <format dxfId="150">
      <pivotArea outline="0" fieldPosition="0"/>
    </format>
    <format dxfId="149">
      <pivotArea type="all" dataOnly="0" outline="0" fieldPosition="0"/>
    </format>
    <format dxfId="148">
      <pivotArea outline="0" fieldPosition="0"/>
    </format>
    <format dxfId="147">
      <pivotArea type="origin" dataOnly="0" labelOnly="1" outline="0" fieldPosition="0"/>
    </format>
    <format dxfId="146">
      <pivotArea field="0" type="button" dataOnly="0" labelOnly="1" outline="0" axis="axisCol" fieldPosition="0"/>
    </format>
    <format dxfId="145">
      <pivotArea type="topRight" dataOnly="0" labelOnly="1" outline="0" fieldPosition="0"/>
    </format>
    <format dxfId="144">
      <pivotArea field="3" type="button" dataOnly="0" labelOnly="1" outline="0" axis="axisRow" fieldPosition="0"/>
    </format>
    <format dxfId="143">
      <pivotArea field="-2" type="button" dataOnly="0" labelOnly="1" outline="0" axis="axisRow" fieldPosition="1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4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3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3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3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3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3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3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3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7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26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25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24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23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22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21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20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9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8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7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16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15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14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13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12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11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9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8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7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0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10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10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10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10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0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0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9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9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9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9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9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9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9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9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8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8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8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8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8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8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8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8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8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7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7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7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76">
      <pivotArea dataOnly="0" labelOnly="1" outline="0" fieldPosition="0">
        <references count="1">
          <reference field="0" count="0"/>
        </references>
      </pivotArea>
    </format>
    <format dxfId="75">
      <pivotArea dataOnly="0" labelOnly="1" grandCol="1" outline="0" fieldPosition="0"/>
    </format>
    <format dxfId="74">
      <pivotArea type="all" dataOnly="0" outline="0" fieldPosition="0"/>
    </format>
    <format dxfId="73">
      <pivotArea outline="0" fieldPosition="0"/>
    </format>
    <format dxfId="72">
      <pivotArea type="origin" dataOnly="0" labelOnly="1" outline="0" fieldPosition="0"/>
    </format>
    <format dxfId="71">
      <pivotArea field="0" type="button" dataOnly="0" labelOnly="1" outline="0" axis="axisCol" fieldPosition="0"/>
    </format>
    <format dxfId="70">
      <pivotArea type="topRight" dataOnly="0" labelOnly="1" outline="0" fieldPosition="0"/>
    </format>
    <format dxfId="69">
      <pivotArea field="3" type="button" dataOnly="0" labelOnly="1" outline="0" axis="axisRow" fieldPosition="0"/>
    </format>
    <format dxfId="68">
      <pivotArea field="-2" type="button" dataOnly="0" labelOnly="1" outline="0" axis="axisRow" fieldPosition="1"/>
    </format>
    <format dxfId="67">
      <pivotArea dataOnly="0" labelOnly="1" outline="0" fieldPosition="0">
        <references count="1">
          <reference field="3" count="0"/>
        </references>
      </pivotArea>
    </format>
    <format dxfId="66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65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64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63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62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61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60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9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8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7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56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55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54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53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52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51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50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9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8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7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46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45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44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43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42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41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40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9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8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7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36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35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34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33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32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31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30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8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7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26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25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24">
      <pivotArea field="3" dataOnly="0" labelOnly="1" grandRow="1" outline="0" axis="axisRow" fieldPosition="0">
        <references count="1">
          <reference field="4294967294" count="1" selected="0">
            <x v="0"/>
          </reference>
        </references>
      </pivotArea>
    </format>
    <format dxfId="23">
      <pivotArea field="3" dataOnly="0" labelOnly="1" grandRow="1" outline="0" axis="axisRow" fieldPosition="0">
        <references count="1">
          <reference field="4294967294" count="1" selected="0">
            <x v="1"/>
          </reference>
        </references>
      </pivotArea>
    </format>
    <format dxfId="22">
      <pivotArea field="3" dataOnly="0" labelOnly="1" grandRow="1" outline="0" axis="axisRow" fieldPosition="0">
        <references count="1">
          <reference field="4294967294" count="1" selected="0">
            <x v="2"/>
          </reference>
        </references>
      </pivotArea>
    </format>
    <format dxfId="21">
      <pivotArea field="3" dataOnly="0" labelOnly="1" grandRow="1" outline="0" axis="axisRow" fieldPosition="0">
        <references count="1">
          <reference field="4294967294" count="1" selected="0">
            <x v="3"/>
          </reference>
        </references>
      </pivotArea>
    </format>
    <format dxfId="20">
      <pivotArea field="3" dataOnly="0" labelOnly="1" grandRow="1" outline="0" axis="axisRow" fieldPosition="0">
        <references count="1">
          <reference field="4294967294" count="1" selected="0">
            <x v="4"/>
          </reference>
        </references>
      </pivotArea>
    </format>
    <format dxfId="19">
      <pivotArea field="3" dataOnly="0" labelOnly="1" grandRow="1" outline="0" axis="axisRow" fieldPosition="0">
        <references count="1">
          <reference field="4294967294" count="1" selected="0">
            <x v="5"/>
          </reference>
        </references>
      </pivotArea>
    </format>
    <format dxfId="18">
      <pivotArea field="3" dataOnly="0" labelOnly="1" grandRow="1" outline="0" axis="axisRow" fieldPosition="0">
        <references count="1">
          <reference field="4294967294" count="1" selected="0">
            <x v="6"/>
          </reference>
        </references>
      </pivotArea>
    </format>
    <format dxfId="1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0"/>
          </reference>
        </references>
      </pivotArea>
    </format>
    <format dxfId="1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"/>
          </reference>
        </references>
      </pivotArea>
    </format>
    <format dxfId="1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3"/>
          </reference>
        </references>
      </pivotArea>
    </format>
    <format dxfId="1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4"/>
          </reference>
        </references>
      </pivotArea>
    </format>
    <format dxfId="1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6"/>
          </reference>
        </references>
      </pivotArea>
    </format>
    <format dxfId="1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8"/>
          </reference>
        </references>
      </pivotArea>
    </format>
    <format dxfId="11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9"/>
          </reference>
        </references>
      </pivotArea>
    </format>
    <format dxfId="10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1"/>
          </reference>
        </references>
      </pivotArea>
    </format>
    <format dxfId="9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2"/>
          </reference>
        </references>
      </pivotArea>
    </format>
    <format dxfId="8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4"/>
          </reference>
        </references>
      </pivotArea>
    </format>
    <format dxfId="7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6"/>
          </reference>
        </references>
      </pivotArea>
    </format>
    <format dxfId="6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7"/>
          </reference>
        </references>
      </pivotArea>
    </format>
    <format dxfId="5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8"/>
          </reference>
        </references>
      </pivotArea>
    </format>
    <format dxfId="4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19"/>
          </reference>
        </references>
      </pivotArea>
    </format>
    <format dxfId="3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0"/>
          </reference>
        </references>
      </pivotArea>
    </format>
    <format dxfId="2">
      <pivotArea dataOnly="0" labelOnly="1" outline="0" fieldPosition="0">
        <references count="2">
          <reference field="4294967294" count="7">
            <x v="0"/>
            <x v="1"/>
            <x v="2"/>
            <x v="3"/>
            <x v="4"/>
            <x v="5"/>
            <x v="6"/>
          </reference>
          <reference field="3" count="1" selected="0">
            <x v="21"/>
          </reference>
        </references>
      </pivotArea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labelOnly="1" grandCol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6"/>
  <sheetViews>
    <sheetView workbookViewId="0">
      <selection sqref="A1:R19"/>
    </sheetView>
  </sheetViews>
  <sheetFormatPr defaultColWidth="8.7109375" defaultRowHeight="12.75" x14ac:dyDescent="0.2"/>
  <sheetData>
    <row r="1" spans="1:2" x14ac:dyDescent="0.2">
      <c r="A1" t="s">
        <v>63</v>
      </c>
    </row>
    <row r="3" spans="1:2" x14ac:dyDescent="0.2">
      <c r="A3">
        <v>1</v>
      </c>
      <c r="B3" s="1" t="s">
        <v>65</v>
      </c>
    </row>
    <row r="4" spans="1:2" x14ac:dyDescent="0.2">
      <c r="A4">
        <v>2</v>
      </c>
      <c r="B4" s="1" t="s">
        <v>64</v>
      </c>
    </row>
    <row r="5" spans="1:2" x14ac:dyDescent="0.2">
      <c r="A5">
        <v>3</v>
      </c>
      <c r="B5" s="1" t="s">
        <v>66</v>
      </c>
    </row>
    <row r="6" spans="1:2" x14ac:dyDescent="0.2">
      <c r="A6">
        <v>4</v>
      </c>
      <c r="B6" s="2" t="s">
        <v>80</v>
      </c>
    </row>
    <row r="7" spans="1:2" x14ac:dyDescent="0.2">
      <c r="A7">
        <v>5</v>
      </c>
      <c r="B7" s="1" t="s">
        <v>67</v>
      </c>
    </row>
    <row r="8" spans="1:2" x14ac:dyDescent="0.2">
      <c r="A8">
        <v>6</v>
      </c>
      <c r="B8" s="1" t="s">
        <v>68</v>
      </c>
    </row>
    <row r="9" spans="1:2" x14ac:dyDescent="0.2">
      <c r="A9">
        <v>7</v>
      </c>
      <c r="B9" s="3" t="s">
        <v>69</v>
      </c>
    </row>
    <row r="10" spans="1:2" x14ac:dyDescent="0.2">
      <c r="A10">
        <v>8</v>
      </c>
      <c r="B10" s="1" t="s">
        <v>72</v>
      </c>
    </row>
    <row r="11" spans="1:2" x14ac:dyDescent="0.2">
      <c r="B11" s="1" t="s">
        <v>73</v>
      </c>
    </row>
    <row r="12" spans="1:2" x14ac:dyDescent="0.2">
      <c r="B12" s="3" t="s">
        <v>74</v>
      </c>
    </row>
    <row r="13" spans="1:2" x14ac:dyDescent="0.2">
      <c r="B13" s="3" t="s">
        <v>75</v>
      </c>
    </row>
    <row r="14" spans="1:2" x14ac:dyDescent="0.2">
      <c r="A14">
        <v>9</v>
      </c>
      <c r="B14" s="1" t="s">
        <v>76</v>
      </c>
    </row>
    <row r="15" spans="1:2" x14ac:dyDescent="0.2">
      <c r="A15">
        <v>10</v>
      </c>
      <c r="B15" s="1" t="s">
        <v>78</v>
      </c>
    </row>
    <row r="16" spans="1:2" x14ac:dyDescent="0.2">
      <c r="A16">
        <v>11</v>
      </c>
      <c r="B16" s="1" t="s">
        <v>79</v>
      </c>
    </row>
  </sheetData>
  <phoneticPr fontId="6" type="noConversion"/>
  <pageMargins left="0.75" right="0.75" top="1" bottom="1" header="0.5" footer="0.5"/>
  <pageSetup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6150B-EB8C-4DB7-9DF4-724F833580F1}">
  <dimension ref="A1:E22"/>
  <sheetViews>
    <sheetView tabSelected="1" zoomScaleNormal="100" workbookViewId="0">
      <selection activeCell="G4" sqref="G4"/>
    </sheetView>
  </sheetViews>
  <sheetFormatPr defaultColWidth="8.7109375" defaultRowHeight="12.75" x14ac:dyDescent="0.2"/>
  <cols>
    <col min="1" max="1" width="51.5703125" style="195" bestFit="1" customWidth="1"/>
    <col min="2" max="2" width="13.140625" style="195" customWidth="1"/>
    <col min="3" max="3" width="14.140625" style="195" bestFit="1" customWidth="1"/>
    <col min="4" max="4" width="15.140625" style="195" customWidth="1"/>
    <col min="5" max="5" width="14.140625" style="195" customWidth="1"/>
    <col min="6" max="16384" width="8.7109375" style="195"/>
  </cols>
  <sheetData>
    <row r="1" spans="1:5" x14ac:dyDescent="0.2">
      <c r="C1" s="195" t="s">
        <v>21</v>
      </c>
      <c r="D1" s="195" t="s">
        <v>22</v>
      </c>
      <c r="E1" s="195" t="s">
        <v>96</v>
      </c>
    </row>
    <row r="2" spans="1:5" ht="25.5" x14ac:dyDescent="0.2">
      <c r="A2" s="195" t="s">
        <v>102</v>
      </c>
      <c r="B2" s="212" t="s">
        <v>97</v>
      </c>
      <c r="C2" s="196">
        <v>-3619762.4097376089</v>
      </c>
      <c r="D2" s="196">
        <v>-7590040.6758766379</v>
      </c>
      <c r="E2" s="197">
        <f>C2+D2</f>
        <v>-11209803.085614247</v>
      </c>
    </row>
    <row r="3" spans="1:5" ht="13.5" thickBot="1" x14ac:dyDescent="0.25"/>
    <row r="4" spans="1:5" x14ac:dyDescent="0.2">
      <c r="A4" s="198" t="s">
        <v>14</v>
      </c>
      <c r="B4" s="199">
        <f>0.074+0.018</f>
        <v>9.1999999999999998E-2</v>
      </c>
      <c r="C4" s="197">
        <f>$C$2*B4</f>
        <v>-333018.14169586002</v>
      </c>
      <c r="D4" s="197">
        <f>$D$2*B4</f>
        <v>-698283.7421806507</v>
      </c>
      <c r="E4" s="197">
        <f t="shared" ref="E4:E20" si="0">C4+D4</f>
        <v>-1031301.8838765107</v>
      </c>
    </row>
    <row r="5" spans="1:5" x14ac:dyDescent="0.2">
      <c r="A5" s="200" t="s">
        <v>83</v>
      </c>
      <c r="B5" s="201">
        <v>5.0000000000000001E-3</v>
      </c>
      <c r="C5" s="197">
        <f t="shared" ref="C5:C16" si="1">$C$2*B5</f>
        <v>-18098.812048688043</v>
      </c>
      <c r="D5" s="197">
        <f t="shared" ref="D5:D16" si="2">$D$2*B5</f>
        <v>-37950.203379383187</v>
      </c>
      <c r="E5" s="197">
        <f t="shared" si="0"/>
        <v>-56049.01542807123</v>
      </c>
    </row>
    <row r="6" spans="1:5" x14ac:dyDescent="0.2">
      <c r="A6" s="200" t="s">
        <v>54</v>
      </c>
      <c r="B6" s="201">
        <v>1.4999999999999999E-2</v>
      </c>
      <c r="C6" s="197">
        <f t="shared" si="1"/>
        <v>-54296.43614606413</v>
      </c>
      <c r="D6" s="197">
        <f t="shared" si="2"/>
        <v>-113850.61013814957</v>
      </c>
      <c r="E6" s="197">
        <f t="shared" si="0"/>
        <v>-168147.04628421369</v>
      </c>
    </row>
    <row r="7" spans="1:5" x14ac:dyDescent="0.2">
      <c r="A7" s="202" t="s">
        <v>17</v>
      </c>
      <c r="B7" s="199">
        <v>1.2999999999999999E-2</v>
      </c>
      <c r="C7" s="197">
        <f t="shared" si="1"/>
        <v>-47056.91132658891</v>
      </c>
      <c r="D7" s="197">
        <f t="shared" si="2"/>
        <v>-98670.528786396288</v>
      </c>
      <c r="E7" s="197">
        <f t="shared" si="0"/>
        <v>-145727.4401129852</v>
      </c>
    </row>
    <row r="8" spans="1:5" x14ac:dyDescent="0.2">
      <c r="A8" s="200" t="s">
        <v>13</v>
      </c>
      <c r="B8" s="201">
        <v>0.10199999999999999</v>
      </c>
      <c r="C8" s="197">
        <f t="shared" si="1"/>
        <v>-369215.76579323609</v>
      </c>
      <c r="D8" s="197">
        <f t="shared" si="2"/>
        <v>-774184.14893941698</v>
      </c>
      <c r="E8" s="197">
        <f t="shared" si="0"/>
        <v>-1143399.9147326532</v>
      </c>
    </row>
    <row r="9" spans="1:5" x14ac:dyDescent="0.2">
      <c r="A9" s="202" t="s">
        <v>15</v>
      </c>
      <c r="B9" s="199">
        <v>1E-3</v>
      </c>
      <c r="C9" s="197">
        <f t="shared" si="1"/>
        <v>-3619.7624097376088</v>
      </c>
      <c r="D9" s="197">
        <f t="shared" si="2"/>
        <v>-7590.0406758766385</v>
      </c>
      <c r="E9" s="197">
        <f t="shared" si="0"/>
        <v>-11209.803085614247</v>
      </c>
    </row>
    <row r="10" spans="1:5" x14ac:dyDescent="0.2">
      <c r="A10" s="202" t="s">
        <v>57</v>
      </c>
      <c r="B10" s="199">
        <v>5.0000000000000001E-3</v>
      </c>
      <c r="C10" s="197">
        <f t="shared" si="1"/>
        <v>-18098.812048688043</v>
      </c>
      <c r="D10" s="197">
        <f t="shared" si="2"/>
        <v>-37950.203379383187</v>
      </c>
      <c r="E10" s="197">
        <f t="shared" si="0"/>
        <v>-56049.01542807123</v>
      </c>
    </row>
    <row r="11" spans="1:5" x14ac:dyDescent="0.2">
      <c r="A11" s="202" t="s">
        <v>16</v>
      </c>
      <c r="B11" s="199">
        <v>0</v>
      </c>
      <c r="C11" s="197">
        <f t="shared" si="1"/>
        <v>0</v>
      </c>
      <c r="D11" s="197">
        <f t="shared" si="2"/>
        <v>0</v>
      </c>
      <c r="E11" s="197">
        <f t="shared" si="0"/>
        <v>0</v>
      </c>
    </row>
    <row r="12" spans="1:5" x14ac:dyDescent="0.2">
      <c r="A12" s="200" t="s">
        <v>56</v>
      </c>
      <c r="B12" s="201">
        <v>3.0000000000000001E-3</v>
      </c>
      <c r="C12" s="197">
        <f t="shared" si="1"/>
        <v>-10859.287229212827</v>
      </c>
      <c r="D12" s="197">
        <f t="shared" si="2"/>
        <v>-22770.122027629914</v>
      </c>
      <c r="E12" s="197">
        <f t="shared" si="0"/>
        <v>-33629.409256842744</v>
      </c>
    </row>
    <row r="13" spans="1:5" x14ac:dyDescent="0.2">
      <c r="A13" s="200" t="s">
        <v>19</v>
      </c>
      <c r="B13" s="201">
        <f>0.003+0.002</f>
        <v>5.0000000000000001E-3</v>
      </c>
      <c r="C13" s="197">
        <f t="shared" si="1"/>
        <v>-18098.812048688043</v>
      </c>
      <c r="D13" s="197">
        <f t="shared" si="2"/>
        <v>-37950.203379383187</v>
      </c>
      <c r="E13" s="197">
        <f t="shared" si="0"/>
        <v>-56049.01542807123</v>
      </c>
    </row>
    <row r="14" spans="1:5" x14ac:dyDescent="0.2">
      <c r="A14" s="202" t="s">
        <v>8</v>
      </c>
      <c r="B14" s="199">
        <v>1.2999999999999999E-2</v>
      </c>
      <c r="C14" s="197">
        <f t="shared" si="1"/>
        <v>-47056.91132658891</v>
      </c>
      <c r="D14" s="197">
        <f t="shared" si="2"/>
        <v>-98670.528786396288</v>
      </c>
      <c r="E14" s="197">
        <f t="shared" si="0"/>
        <v>-145727.4401129852</v>
      </c>
    </row>
    <row r="15" spans="1:5" x14ac:dyDescent="0.2">
      <c r="A15" s="202" t="s">
        <v>55</v>
      </c>
      <c r="B15" s="199">
        <v>1E-3</v>
      </c>
      <c r="C15" s="197">
        <f t="shared" si="1"/>
        <v>-3619.7624097376088</v>
      </c>
      <c r="D15" s="197">
        <f t="shared" si="2"/>
        <v>-7590.0406758766385</v>
      </c>
      <c r="E15" s="197">
        <f t="shared" si="0"/>
        <v>-11209.803085614247</v>
      </c>
    </row>
    <row r="16" spans="1:5" x14ac:dyDescent="0.2">
      <c r="A16" s="203" t="s">
        <v>9</v>
      </c>
      <c r="B16" s="199">
        <v>5.0000000000000001E-3</v>
      </c>
      <c r="C16" s="197">
        <f t="shared" si="1"/>
        <v>-18098.812048688043</v>
      </c>
      <c r="D16" s="197">
        <f t="shared" si="2"/>
        <v>-37950.203379383187</v>
      </c>
      <c r="E16" s="197">
        <f t="shared" si="0"/>
        <v>-56049.01542807123</v>
      </c>
    </row>
    <row r="17" spans="1:5" ht="24" x14ac:dyDescent="0.2">
      <c r="A17" s="204" t="s">
        <v>43</v>
      </c>
      <c r="B17" s="205"/>
      <c r="C17" s="206">
        <f>SUM(C4:C16)</f>
        <v>-941138.22653177823</v>
      </c>
      <c r="D17" s="206">
        <f>SUM(D4:D16)</f>
        <v>-1973410.5757279256</v>
      </c>
      <c r="E17" s="206">
        <f>SUM(E4:E16)</f>
        <v>-2914548.802259705</v>
      </c>
    </row>
    <row r="18" spans="1:5" x14ac:dyDescent="0.2">
      <c r="A18" s="207" t="s">
        <v>21</v>
      </c>
      <c r="B18" s="201">
        <v>0.37</v>
      </c>
      <c r="C18" s="197">
        <f>$C$2*B18</f>
        <v>-1339312.0916029152</v>
      </c>
      <c r="D18" s="197">
        <f>$D$2*B18</f>
        <v>-2808315.0500743561</v>
      </c>
      <c r="E18" s="197">
        <f t="shared" si="0"/>
        <v>-4147627.1416772716</v>
      </c>
    </row>
    <row r="19" spans="1:5" x14ac:dyDescent="0.2">
      <c r="A19" s="202" t="s">
        <v>22</v>
      </c>
      <c r="B19" s="199">
        <v>0.35399999999999998</v>
      </c>
      <c r="C19" s="197">
        <f t="shared" ref="C19:C20" si="3">$C$2*B19</f>
        <v>-1281395.8930471134</v>
      </c>
      <c r="D19" s="197">
        <f t="shared" ref="D19:D20" si="4">$D$2*B19</f>
        <v>-2686874.3992603295</v>
      </c>
      <c r="E19" s="197">
        <f t="shared" si="0"/>
        <v>-3968270.292307443</v>
      </c>
    </row>
    <row r="20" spans="1:5" x14ac:dyDescent="0.2">
      <c r="A20" s="203" t="s">
        <v>81</v>
      </c>
      <c r="B20" s="199">
        <v>1.6E-2</v>
      </c>
      <c r="C20" s="197">
        <f t="shared" si="3"/>
        <v>-57916.19855580174</v>
      </c>
      <c r="D20" s="197">
        <f t="shared" si="4"/>
        <v>-121440.65081402622</v>
      </c>
      <c r="E20" s="197">
        <f t="shared" si="0"/>
        <v>-179356.84936982795</v>
      </c>
    </row>
    <row r="21" spans="1:5" ht="24" x14ac:dyDescent="0.2">
      <c r="A21" s="204" t="s">
        <v>51</v>
      </c>
      <c r="B21" s="208"/>
      <c r="C21" s="209">
        <f>SUM(C18:C20)</f>
        <v>-2678624.1832058304</v>
      </c>
      <c r="D21" s="209">
        <f>SUM(D18:D20)</f>
        <v>-5616630.1001487123</v>
      </c>
      <c r="E21" s="209">
        <f>SUM(E18:E20)</f>
        <v>-8295254.2833545422</v>
      </c>
    </row>
    <row r="22" spans="1:5" ht="13.5" thickBot="1" x14ac:dyDescent="0.25">
      <c r="A22" s="210" t="s">
        <v>44</v>
      </c>
      <c r="B22" s="211"/>
      <c r="C22" s="197">
        <f>C17+C21</f>
        <v>-3619762.4097376084</v>
      </c>
      <c r="D22" s="197">
        <f>D17+D21</f>
        <v>-7590040.6758766379</v>
      </c>
      <c r="E22" s="197">
        <f>E17+E21</f>
        <v>-11209803.085614247</v>
      </c>
    </row>
  </sheetData>
  <pageMargins left="0.7" right="0.7" top="0.75" bottom="0.75" header="0.3" footer="0.3"/>
  <pageSetup scale="8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Q42"/>
  <sheetViews>
    <sheetView zoomScale="85" zoomScaleNormal="85" zoomScaleSheetLayoutView="100" workbookViewId="0">
      <selection activeCell="K15" sqref="K15"/>
    </sheetView>
  </sheetViews>
  <sheetFormatPr defaultColWidth="33.28515625" defaultRowHeight="12.75" x14ac:dyDescent="0.2"/>
  <cols>
    <col min="1" max="1" width="9.140625" customWidth="1"/>
    <col min="2" max="2" width="14" customWidth="1"/>
    <col min="3" max="3" width="21.85546875" customWidth="1"/>
    <col min="4" max="4" width="14.28515625" customWidth="1"/>
    <col min="5" max="5" width="15.7109375" customWidth="1"/>
    <col min="6" max="8" width="14" customWidth="1"/>
    <col min="9" max="9" width="14.85546875" customWidth="1"/>
    <col min="10" max="14" width="14" customWidth="1"/>
    <col min="15" max="15" width="15" customWidth="1"/>
    <col min="16" max="108" width="31.7109375" customWidth="1"/>
    <col min="109" max="109" width="11.42578125" customWidth="1"/>
  </cols>
  <sheetData>
    <row r="1" spans="2:17" x14ac:dyDescent="0.2">
      <c r="C1" s="242" t="str">
        <f>+Transactions!B1</f>
        <v>AEPTCo Formula Rate -- FERC Docket ER18-195</v>
      </c>
      <c r="D1" s="242"/>
      <c r="E1" s="242"/>
      <c r="F1" s="242"/>
      <c r="G1" s="242"/>
      <c r="H1" s="242"/>
      <c r="I1" s="242"/>
      <c r="J1" s="4">
        <v>2025</v>
      </c>
    </row>
    <row r="2" spans="2:17" x14ac:dyDescent="0.2">
      <c r="C2" s="242" t="s">
        <v>36</v>
      </c>
      <c r="D2" s="242"/>
      <c r="E2" s="242"/>
      <c r="F2" s="242"/>
      <c r="G2" s="242"/>
      <c r="H2" s="242"/>
      <c r="I2" s="242"/>
    </row>
    <row r="3" spans="2:17" x14ac:dyDescent="0.2">
      <c r="C3" s="242" t="str">
        <f>"for period 01/01/"&amp;F8&amp;" - 12/31/"&amp;F8</f>
        <v>for period 01/01/2025 - 12/31/2025</v>
      </c>
      <c r="D3" s="242"/>
      <c r="E3" s="242"/>
      <c r="F3" s="242"/>
      <c r="G3" s="242"/>
      <c r="H3" s="242"/>
      <c r="I3" s="242"/>
    </row>
    <row r="4" spans="2:17" x14ac:dyDescent="0.2">
      <c r="C4" s="242" t="s">
        <v>94</v>
      </c>
      <c r="D4" s="242"/>
      <c r="E4" s="242"/>
      <c r="F4" s="242"/>
      <c r="G4" s="242"/>
      <c r="H4" s="242"/>
      <c r="I4" s="242"/>
    </row>
    <row r="5" spans="2:17" x14ac:dyDescent="0.2">
      <c r="C5" s="5" t="str">
        <f>"Prepared:  May 24_, "&amp;J1+1&amp;""</f>
        <v>Prepared:  May 24_, 2026</v>
      </c>
      <c r="D5" s="6"/>
    </row>
    <row r="6" spans="2:17" x14ac:dyDescent="0.2">
      <c r="C6" s="7"/>
    </row>
    <row r="7" spans="2:17" x14ac:dyDescent="0.2">
      <c r="C7" s="8"/>
    </row>
    <row r="8" spans="2:17" ht="27.75" customHeight="1" thickBot="1" x14ac:dyDescent="0.25">
      <c r="F8" s="9">
        <v>2025</v>
      </c>
    </row>
    <row r="9" spans="2:17" ht="20.25" customHeight="1" x14ac:dyDescent="0.2">
      <c r="E9" s="10" t="s">
        <v>93</v>
      </c>
      <c r="F9" s="11"/>
      <c r="G9" s="12"/>
      <c r="H9" s="13"/>
    </row>
    <row r="10" spans="2:17" ht="42" customHeight="1" thickBot="1" x14ac:dyDescent="0.25">
      <c r="B10" s="14"/>
      <c r="E10" s="15" t="str">
        <f>"(per "&amp;$F8&amp;" Projections "&amp;$F8&amp;")"</f>
        <v>(per 2025 Projections 2025)</v>
      </c>
      <c r="F10" s="16" t="str">
        <f>"(per "&amp;F8+1&amp;" Update of May "&amp;F8+1&amp;")"</f>
        <v>(per 2026 Update of May 2026)</v>
      </c>
      <c r="G10" s="17"/>
      <c r="H10" s="16"/>
    </row>
    <row r="11" spans="2:17" ht="21.75" customHeight="1" x14ac:dyDescent="0.2">
      <c r="B11" s="18"/>
      <c r="C11" s="19" t="s">
        <v>39</v>
      </c>
      <c r="D11" s="20" t="s">
        <v>37</v>
      </c>
      <c r="E11" s="21">
        <f>Transactions!K2</f>
        <v>114991075.32049818</v>
      </c>
      <c r="F11" s="22"/>
      <c r="G11" s="23"/>
      <c r="H11" s="24"/>
    </row>
    <row r="12" spans="2:17" ht="21.75" customHeight="1" x14ac:dyDescent="0.2">
      <c r="B12" s="18"/>
      <c r="C12" s="25"/>
      <c r="D12" s="26" t="s">
        <v>42</v>
      </c>
      <c r="E12" s="27"/>
      <c r="F12" s="28">
        <f>+Transactions!J2</f>
        <v>109992036.04098561</v>
      </c>
      <c r="G12" s="29"/>
      <c r="H12" s="30"/>
    </row>
    <row r="13" spans="2:17" ht="21.75" customHeight="1" x14ac:dyDescent="0.2">
      <c r="B13" s="31"/>
      <c r="C13" s="32" t="s">
        <v>40</v>
      </c>
      <c r="D13" s="33" t="s">
        <v>38</v>
      </c>
      <c r="E13" s="34">
        <f>Transactions!K3</f>
        <v>1110.3699999999999</v>
      </c>
      <c r="F13" s="30"/>
      <c r="G13" s="35"/>
      <c r="H13" s="36"/>
    </row>
    <row r="14" spans="2:17" ht="21.75" customHeight="1" thickBot="1" x14ac:dyDescent="0.25">
      <c r="B14" s="14"/>
      <c r="C14" s="37"/>
      <c r="D14" s="38" t="s">
        <v>41</v>
      </c>
      <c r="E14" s="39"/>
      <c r="F14" s="40">
        <f>+Transactions!J3</f>
        <v>1038.9100000000001</v>
      </c>
      <c r="G14" s="41"/>
      <c r="H14" s="30"/>
    </row>
    <row r="15" spans="2:17" x14ac:dyDescent="0.2">
      <c r="B15" s="18"/>
    </row>
    <row r="16" spans="2:17" x14ac:dyDescent="0.2">
      <c r="B16" s="31"/>
      <c r="C16" s="31"/>
      <c r="D16" s="42"/>
      <c r="E16" s="31"/>
      <c r="F16" s="43"/>
      <c r="G16" s="44"/>
      <c r="H16" s="44"/>
      <c r="M16" s="46"/>
      <c r="N16" s="46"/>
      <c r="O16" s="46"/>
      <c r="P16" s="46"/>
      <c r="Q16" s="46"/>
    </row>
    <row r="17" spans="2:17" x14ac:dyDescent="0.2">
      <c r="C17" s="8"/>
      <c r="L17" s="1"/>
      <c r="M17" s="46"/>
      <c r="N17" s="46"/>
      <c r="O17" s="46"/>
      <c r="P17" s="46"/>
      <c r="Q17" s="46"/>
    </row>
    <row r="18" spans="2:17" x14ac:dyDescent="0.2">
      <c r="M18" s="46"/>
      <c r="N18" s="46"/>
      <c r="O18" s="46"/>
      <c r="P18" s="46"/>
      <c r="Q18" s="46"/>
    </row>
    <row r="19" spans="2:17" ht="21" customHeight="1" thickBot="1" x14ac:dyDescent="0.25">
      <c r="C19" s="47" t="s">
        <v>31</v>
      </c>
      <c r="D19" s="47" t="s">
        <v>32</v>
      </c>
      <c r="E19" s="48" t="s">
        <v>33</v>
      </c>
      <c r="F19" s="48" t="s">
        <v>34</v>
      </c>
      <c r="G19" s="47" t="s">
        <v>35</v>
      </c>
      <c r="H19" s="47" t="s">
        <v>92</v>
      </c>
      <c r="I19" s="48" t="s">
        <v>91</v>
      </c>
      <c r="M19" s="46"/>
      <c r="N19" s="46"/>
      <c r="O19" s="46"/>
      <c r="P19" s="46"/>
      <c r="Q19" s="46"/>
    </row>
    <row r="20" spans="2:17" ht="53.25" customHeight="1" x14ac:dyDescent="0.2">
      <c r="C20" s="49" t="s">
        <v>50</v>
      </c>
      <c r="D20" s="50" t="str">
        <f>"Actual Charge
("&amp;F8&amp;" True-Up)"</f>
        <v>Actual Charge
(2025 True-Up)</v>
      </c>
      <c r="E20" s="51" t="str">
        <f>"Invoiced for
CY"&amp;F8&amp;" Transmission Service"</f>
        <v>Invoiced for
CY2025 Transmission Service</v>
      </c>
      <c r="F20" s="50" t="s">
        <v>99</v>
      </c>
      <c r="G20" s="52" t="s">
        <v>100</v>
      </c>
      <c r="H20" s="52" t="s">
        <v>103</v>
      </c>
      <c r="I20" s="53" t="s">
        <v>101</v>
      </c>
      <c r="M20" s="46"/>
      <c r="N20" s="46"/>
      <c r="O20" s="46"/>
      <c r="P20" s="46"/>
      <c r="Q20" s="46"/>
    </row>
    <row r="21" spans="2:17" x14ac:dyDescent="0.2">
      <c r="B21" s="54"/>
      <c r="C21" s="55" t="s">
        <v>14</v>
      </c>
      <c r="D21" s="56">
        <f>GETPIVOTDATA("Sum of "&amp;T(Transactions!$J$19),Pivot!$A$3,"Customer",C21)</f>
        <v>10644671.860000001</v>
      </c>
      <c r="E21" s="56">
        <f>GETPIVOTDATA("Sum of "&amp;T(Transactions!$K$19),Pivot!$A$3,"Customer",C21)</f>
        <v>11376851.020000001</v>
      </c>
      <c r="F21" s="56">
        <f>D21-E21</f>
        <v>-732179.16000000015</v>
      </c>
      <c r="G21" s="46">
        <f>(+GETPIVOTDATA("Sum of "&amp;T(Transactions!$M$19),Pivot!$A$3,"Customer","AECC"))</f>
        <v>56630.96483019607</v>
      </c>
      <c r="H21" s="46">
        <f>-'20XX NOLC Refund Detail'!C4</f>
        <v>333018.14169586002</v>
      </c>
      <c r="I21" s="57">
        <f>F21+G21+H21</f>
        <v>-342530.05347394402</v>
      </c>
      <c r="J21" s="54"/>
      <c r="M21" s="46"/>
      <c r="N21" s="46"/>
      <c r="O21" s="46"/>
      <c r="P21" s="46"/>
      <c r="Q21" s="46"/>
    </row>
    <row r="22" spans="2:17" x14ac:dyDescent="0.2">
      <c r="B22" s="54"/>
      <c r="C22" s="58" t="s">
        <v>83</v>
      </c>
      <c r="D22" s="56">
        <f>GETPIVOTDATA("Sum of "&amp;T(Transactions!$J$19),Pivot!$A$3,"Customer",C22)</f>
        <v>532960.82999999996</v>
      </c>
      <c r="E22" s="56">
        <f>GETPIVOTDATA("Sum of "&amp;T(Transactions!$K$19),Pivot!$A$3,"Customer",C22)</f>
        <v>569619.80999999982</v>
      </c>
      <c r="F22" s="56">
        <f>D22-E22</f>
        <v>-36658.979999999865</v>
      </c>
      <c r="G22" s="46">
        <f>(+GETPIVOTDATA("Sum of "&amp;T(Transactions!$M$19),Pivot!$A$3,"Customer","AECI"))</f>
        <v>2835.417231884695</v>
      </c>
      <c r="H22" s="46">
        <f>-'20XX NOLC Refund Detail'!C5</f>
        <v>18098.812048688043</v>
      </c>
      <c r="I22" s="57">
        <f t="shared" ref="I22:I33" si="0">F22+G22+H22</f>
        <v>-15724.750719427124</v>
      </c>
      <c r="J22" s="54"/>
      <c r="M22" s="46"/>
      <c r="N22" s="46"/>
      <c r="O22" s="46"/>
      <c r="P22" s="46"/>
      <c r="Q22" s="46"/>
    </row>
    <row r="23" spans="2:17" x14ac:dyDescent="0.2">
      <c r="B23" s="54"/>
      <c r="C23" s="58" t="s">
        <v>54</v>
      </c>
      <c r="D23" s="56">
        <f>GETPIVOTDATA("Sum of "&amp;T(Transactions!$J$19),Pivot!$A$3,"Customer",C23)</f>
        <v>1793158.66</v>
      </c>
      <c r="E23" s="56">
        <f>GETPIVOTDATA("Sum of "&amp;T(Transactions!$K$19),Pivot!$A$3,"Customer",C23)</f>
        <v>1916498.6199999996</v>
      </c>
      <c r="F23" s="56">
        <f t="shared" ref="F23:F35" si="1">D23-E23</f>
        <v>-123339.95999999973</v>
      </c>
      <c r="G23" s="46">
        <f>(+GETPIVOTDATA("Sum of "&amp;T(Transactions!$M$19),Pivot!$A$3,"Customer","Bentonville, AR"))</f>
        <v>9539.8248386607847</v>
      </c>
      <c r="H23" s="46">
        <f>-'20XX NOLC Refund Detail'!C6</f>
        <v>54296.43614606413</v>
      </c>
      <c r="I23" s="57">
        <f t="shared" si="0"/>
        <v>-59503.699015274811</v>
      </c>
      <c r="J23" s="54"/>
      <c r="M23" s="46"/>
      <c r="N23" s="46"/>
      <c r="O23" s="46"/>
      <c r="P23" s="46"/>
      <c r="Q23" s="46"/>
    </row>
    <row r="24" spans="2:17" x14ac:dyDescent="0.2">
      <c r="B24" s="54"/>
      <c r="C24" s="55" t="s">
        <v>17</v>
      </c>
      <c r="D24" s="56">
        <f>GETPIVOTDATA("Sum of "&amp;T(Transactions!$J$19),Pivot!$A$3,"Customer",C24)</f>
        <v>1210330.1500000001</v>
      </c>
      <c r="E24" s="56">
        <f>GETPIVOTDATA("Sum of "&amp;T(Transactions!$K$19),Pivot!$A$3,"Customer",C24)</f>
        <v>1293581.0499999998</v>
      </c>
      <c r="F24" s="56">
        <f t="shared" si="1"/>
        <v>-83250.899999999674</v>
      </c>
      <c r="G24" s="46">
        <f>(+GETPIVOTDATA("Sum of "&amp;T(Transactions!$M$19),Pivot!$A$3,"Customer","Coffeyville, KS"))</f>
        <v>6439.1054096406815</v>
      </c>
      <c r="H24" s="46">
        <f>-'20XX NOLC Refund Detail'!C7</f>
        <v>47056.91132658891</v>
      </c>
      <c r="I24" s="57">
        <f t="shared" si="0"/>
        <v>-29754.883263770076</v>
      </c>
      <c r="J24" s="54"/>
      <c r="M24" s="46"/>
      <c r="N24" s="46"/>
      <c r="O24" s="46"/>
      <c r="P24" s="46"/>
      <c r="Q24" s="46"/>
    </row>
    <row r="25" spans="2:17" x14ac:dyDescent="0.2">
      <c r="B25" s="54"/>
      <c r="C25" s="58" t="s">
        <v>13</v>
      </c>
      <c r="D25" s="56">
        <f>GETPIVOTDATA("Sum of "&amp;T(Transactions!$J$19),Pivot!$A$3,"Customer",C25)</f>
        <v>11503850.43</v>
      </c>
      <c r="E25" s="56">
        <f>GETPIVOTDATA("Sum of "&amp;T(Transactions!$K$19),Pivot!$A$3,"Customer",C25)</f>
        <v>12295127.009999998</v>
      </c>
      <c r="F25" s="56">
        <f t="shared" si="1"/>
        <v>-791276.57999999821</v>
      </c>
      <c r="G25" s="46">
        <f>(+GETPIVOTDATA("Sum of "&amp;T(Transactions!$M$19),Pivot!$A$3,"Customer","ETEC"))</f>
        <v>61201.900601674897</v>
      </c>
      <c r="H25" s="46">
        <f>-'20XX NOLC Refund Detail'!C8</f>
        <v>369215.76579323609</v>
      </c>
      <c r="I25" s="57">
        <f t="shared" si="0"/>
        <v>-360858.9136050872</v>
      </c>
      <c r="J25" s="54"/>
      <c r="L25" s="1"/>
      <c r="M25" s="46"/>
      <c r="N25" s="46"/>
      <c r="O25" s="46"/>
      <c r="P25" s="46"/>
      <c r="Q25" s="46"/>
    </row>
    <row r="26" spans="2:17" x14ac:dyDescent="0.2">
      <c r="B26" s="54"/>
      <c r="C26" s="55" t="s">
        <v>15</v>
      </c>
      <c r="D26" s="56">
        <f>GETPIVOTDATA("Sum of "&amp;T(Transactions!$J$19),Pivot!$A$3,"Customer",C26)</f>
        <v>105968.82</v>
      </c>
      <c r="E26" s="56">
        <f>GETPIVOTDATA("Sum of "&amp;T(Transactions!$K$19),Pivot!$A$3,"Customer",C26)</f>
        <v>113257.73999999999</v>
      </c>
      <c r="F26" s="56">
        <f t="shared" si="1"/>
        <v>-7288.9199999999837</v>
      </c>
      <c r="G26" s="46">
        <f>(+GETPIVOTDATA("Sum of "&amp;T(Transactions!$M$19),Pivot!$A$3,"Customer","Greenbelt"))</f>
        <v>563.76716891274623</v>
      </c>
      <c r="H26" s="46">
        <f>-'20XX NOLC Refund Detail'!C9</f>
        <v>3619.7624097376088</v>
      </c>
      <c r="I26" s="57">
        <f t="shared" si="0"/>
        <v>-3105.3904213496285</v>
      </c>
      <c r="J26" s="54"/>
      <c r="K26" s="59"/>
      <c r="L26" s="59"/>
      <c r="M26" s="59"/>
      <c r="N26" s="59"/>
      <c r="O26" s="46"/>
      <c r="P26" s="46"/>
      <c r="Q26" s="46"/>
    </row>
    <row r="27" spans="2:17" x14ac:dyDescent="0.2">
      <c r="B27" s="54"/>
      <c r="C27" s="55" t="s">
        <v>57</v>
      </c>
      <c r="D27" s="56">
        <f>GETPIVOTDATA("Sum of "&amp;T(Transactions!$J$19),Pivot!$A$3,"Customer",C27)</f>
        <v>501793.53000000009</v>
      </c>
      <c r="E27" s="56">
        <f>GETPIVOTDATA("Sum of "&amp;T(Transactions!$K$19),Pivot!$A$3,"Customer",C27)</f>
        <v>536308.71</v>
      </c>
      <c r="F27" s="56">
        <f t="shared" si="1"/>
        <v>-34515.179999999877</v>
      </c>
      <c r="G27" s="46">
        <f>(+GETPIVOTDATA("Sum of "&amp;T(Transactions!$M$19),Pivot!$A$3,"Customer","Hope, AR"))</f>
        <v>2669.6033586750636</v>
      </c>
      <c r="H27" s="46">
        <f>-'20XX NOLC Refund Detail'!C10</f>
        <v>18098.812048688043</v>
      </c>
      <c r="I27" s="57">
        <f t="shared" si="0"/>
        <v>-13746.76459263677</v>
      </c>
      <c r="J27" s="54"/>
      <c r="K27" s="59"/>
      <c r="L27" s="59"/>
      <c r="M27" s="59"/>
      <c r="N27" s="59"/>
      <c r="O27" s="46"/>
      <c r="P27" s="46"/>
      <c r="Q27" s="46"/>
    </row>
    <row r="28" spans="2:17" x14ac:dyDescent="0.2">
      <c r="B28" s="54"/>
      <c r="C28" s="55" t="s">
        <v>16</v>
      </c>
      <c r="D28" s="56">
        <f>GETPIVOTDATA("Sum of "&amp;T(Transactions!$J$19),Pivot!$A$3,"Customer",C28)</f>
        <v>34284.030000000006</v>
      </c>
      <c r="E28" s="56">
        <f>GETPIVOTDATA("Sum of "&amp;T(Transactions!$K$19),Pivot!$A$3,"Customer",C28)</f>
        <v>36642.21</v>
      </c>
      <c r="F28" s="56">
        <f t="shared" si="1"/>
        <v>-2358.179999999993</v>
      </c>
      <c r="G28" s="46">
        <f>(+GETPIVOTDATA("Sum of "&amp;T(Transactions!$M$19),Pivot!$A$3,"Customer","Lighthouse"))</f>
        <v>182.39526053059438</v>
      </c>
      <c r="H28" s="46">
        <f>-'20XX NOLC Refund Detail'!C11</f>
        <v>0</v>
      </c>
      <c r="I28" s="57">
        <f t="shared" si="0"/>
        <v>-2175.7847394693986</v>
      </c>
      <c r="J28" s="54"/>
      <c r="M28" s="46"/>
      <c r="N28" s="46"/>
      <c r="O28" s="46"/>
      <c r="P28" s="46"/>
      <c r="Q28" s="46"/>
    </row>
    <row r="29" spans="2:17" x14ac:dyDescent="0.2">
      <c r="B29" s="54"/>
      <c r="C29" s="58" t="s">
        <v>56</v>
      </c>
      <c r="D29" s="56">
        <f>GETPIVOTDATA("Sum of "&amp;T(Transactions!$J$19),Pivot!$A$3,"Customer",C29)</f>
        <v>0</v>
      </c>
      <c r="E29" s="56">
        <f>GETPIVOTDATA("Sum of "&amp;T(Transactions!$K$19),Pivot!$A$3,"Customer",C29)</f>
        <v>0</v>
      </c>
      <c r="F29" s="56">
        <f t="shared" si="1"/>
        <v>0</v>
      </c>
      <c r="G29" s="46">
        <f>(+GETPIVOTDATA("Sum of "&amp;T(Transactions!$M$19),Pivot!$A$3,"Customer","Minden, LA"))</f>
        <v>0</v>
      </c>
      <c r="H29" s="46">
        <f>-'20XX NOLC Refund Detail'!C12</f>
        <v>10859.287229212827</v>
      </c>
      <c r="I29" s="57">
        <f t="shared" si="0"/>
        <v>10859.287229212827</v>
      </c>
      <c r="J29" s="54"/>
      <c r="M29" s="46"/>
      <c r="N29" s="46"/>
      <c r="O29" s="46"/>
      <c r="P29" s="46"/>
      <c r="Q29" s="46"/>
    </row>
    <row r="30" spans="2:17" x14ac:dyDescent="0.2">
      <c r="B30" s="54"/>
      <c r="C30" s="58" t="s">
        <v>19</v>
      </c>
      <c r="D30" s="56">
        <f>GETPIVOTDATA("Sum of "&amp;T(Transactions!$J$19),Pivot!$A$3,"Customer",C30)</f>
        <v>775026.86</v>
      </c>
      <c r="E30" s="56">
        <f>GETPIVOTDATA("Sum of "&amp;T(Transactions!$K$19),Pivot!$A$3,"Customer",C30)</f>
        <v>828336.02</v>
      </c>
      <c r="F30" s="56">
        <f t="shared" si="1"/>
        <v>-53309.160000000033</v>
      </c>
      <c r="G30" s="46">
        <f>(+GETPIVOTDATA("Sum of "&amp;T(Transactions!$M$19),Pivot!$A$3,"Customer","OG&amp;E"))</f>
        <v>4123.2383138128307</v>
      </c>
      <c r="H30" s="46">
        <f>-'20XX NOLC Refund Detail'!C13</f>
        <v>18098.812048688043</v>
      </c>
      <c r="I30" s="57">
        <f t="shared" si="0"/>
        <v>-31087.109637499161</v>
      </c>
      <c r="J30" s="54"/>
    </row>
    <row r="31" spans="2:17" x14ac:dyDescent="0.2">
      <c r="B31" s="54"/>
      <c r="C31" s="55" t="s">
        <v>8</v>
      </c>
      <c r="D31" s="56">
        <f>GETPIVOTDATA("Sum of "&amp;T(Transactions!$J$19),Pivot!$A$3,"Customer",C31)</f>
        <v>1289287.3100000003</v>
      </c>
      <c r="E31" s="56">
        <f>GETPIVOTDATA("Sum of "&amp;T(Transactions!$K$19),Pivot!$A$3,"Customer",C31)</f>
        <v>1377969.17</v>
      </c>
      <c r="F31" s="56">
        <f t="shared" si="1"/>
        <v>-88681.859999999637</v>
      </c>
      <c r="G31" s="46">
        <f>(+GETPIVOTDATA("Sum of "&amp;T(Transactions!$M$19),Pivot!$A$3,"Customer","OMPA"))</f>
        <v>6859.167221771746</v>
      </c>
      <c r="H31" s="46">
        <f>-'20XX NOLC Refund Detail'!C14</f>
        <v>47056.91132658891</v>
      </c>
      <c r="I31" s="57">
        <f t="shared" si="0"/>
        <v>-34765.781451638984</v>
      </c>
      <c r="J31" s="54"/>
    </row>
    <row r="32" spans="2:17" x14ac:dyDescent="0.2">
      <c r="B32" s="54"/>
      <c r="C32" s="55" t="s">
        <v>55</v>
      </c>
      <c r="D32" s="56">
        <f>GETPIVOTDATA("Sum of "&amp;T(Transactions!$J$19),Pivot!$A$3,"Customer",C32)</f>
        <v>131941.57</v>
      </c>
      <c r="E32" s="56">
        <f>GETPIVOTDATA("Sum of "&amp;T(Transactions!$K$19),Pivot!$A$3,"Customer",C32)</f>
        <v>141016.99</v>
      </c>
      <c r="F32" s="56">
        <f t="shared" si="1"/>
        <v>-9075.4199999999837</v>
      </c>
      <c r="G32" s="46">
        <f>(+GETPIVOTDATA("Sum of "&amp;T(Transactions!$M$19),Pivot!$A$3,"Customer","Prescott, AR"))</f>
        <v>701.94539658743895</v>
      </c>
      <c r="H32" s="46">
        <f>-'20XX NOLC Refund Detail'!C15</f>
        <v>3619.7624097376088</v>
      </c>
      <c r="I32" s="57">
        <f t="shared" si="0"/>
        <v>-4753.7121936749372</v>
      </c>
      <c r="J32" s="54"/>
    </row>
    <row r="33" spans="2:11" x14ac:dyDescent="0.2">
      <c r="B33" s="54"/>
      <c r="C33" s="60" t="s">
        <v>9</v>
      </c>
      <c r="D33" s="56">
        <f>GETPIVOTDATA("Sum of "&amp;T(Transactions!$J$19),Pivot!$A$3,"Customer",C33)</f>
        <v>673213.68</v>
      </c>
      <c r="E33" s="56">
        <f>GETPIVOTDATA("Sum of "&amp;T(Transactions!$K$19),Pivot!$A$3,"Customer",C33)</f>
        <v>719519.75999999989</v>
      </c>
      <c r="F33" s="56">
        <f t="shared" si="1"/>
        <v>-46306.079999999842</v>
      </c>
      <c r="G33" s="46">
        <f>(+GETPIVOTDATA("Sum of "&amp;T(Transactions!$M$19),Pivot!$A$3,"Customer","WFEC"))</f>
        <v>3581.5796613280349</v>
      </c>
      <c r="H33" s="46">
        <f>-'20XX NOLC Refund Detail'!C16</f>
        <v>18098.812048688043</v>
      </c>
      <c r="I33" s="57">
        <f t="shared" si="0"/>
        <v>-24625.688289983766</v>
      </c>
      <c r="J33" s="54"/>
    </row>
    <row r="34" spans="2:11" ht="24" x14ac:dyDescent="0.2">
      <c r="C34" s="61" t="s">
        <v>43</v>
      </c>
      <c r="D34" s="62">
        <f t="shared" ref="D34:I34" si="2">SUM(D21:D33)</f>
        <v>29196487.73</v>
      </c>
      <c r="E34" s="62">
        <f t="shared" si="2"/>
        <v>31204728.109999999</v>
      </c>
      <c r="F34" s="62">
        <f t="shared" si="2"/>
        <v>-2008240.3799999971</v>
      </c>
      <c r="G34" s="63">
        <f t="shared" si="2"/>
        <v>155328.90929367556</v>
      </c>
      <c r="H34" s="63">
        <f t="shared" si="2"/>
        <v>941138.22653177823</v>
      </c>
      <c r="I34" s="64">
        <f t="shared" si="2"/>
        <v>-911773.2441745433</v>
      </c>
    </row>
    <row r="35" spans="2:11" x14ac:dyDescent="0.2">
      <c r="C35" s="65" t="s">
        <v>21</v>
      </c>
      <c r="D35" s="56">
        <f>GETPIVOTDATA("Sum of "&amp;T(Transactions!$J$19),Pivot!$A$3,"Customer",C35)</f>
        <v>40403209.900000006</v>
      </c>
      <c r="E35" s="56">
        <f>GETPIVOTDATA("Sum of "&amp;T(Transactions!$K$19),Pivot!$A$3,"Customer",C35)</f>
        <v>43182289.299999997</v>
      </c>
      <c r="F35" s="56">
        <f t="shared" si="1"/>
        <v>-2779079.3999999911</v>
      </c>
      <c r="G35" s="46">
        <f>(+GETPIVOTDATA("Sum of "&amp;T(Transactions!$M$19),Pivot!$A$3,"Customer","PSO"))</f>
        <v>214950.050970752</v>
      </c>
      <c r="H35" s="46">
        <f>-'20XX NOLC Refund Detail'!C18</f>
        <v>1339312.0916029152</v>
      </c>
      <c r="I35" s="57">
        <f>F35+G35+H35</f>
        <v>-1224817.2574263241</v>
      </c>
    </row>
    <row r="36" spans="2:11" x14ac:dyDescent="0.2">
      <c r="C36" s="66" t="s">
        <v>22</v>
      </c>
      <c r="D36" s="56">
        <f>GETPIVOTDATA("Sum of "&amp;T(Transactions!$J$19),Pivot!$A$3,"Customer",C36)</f>
        <v>38621479.25</v>
      </c>
      <c r="E36" s="56">
        <f>GETPIVOTDATA("Sum of "&amp;T(Transactions!$K$19),Pivot!$A$3,"Customer",C36)</f>
        <v>41278004.75</v>
      </c>
      <c r="F36" s="56">
        <f>D36-E36</f>
        <v>-2656525.5</v>
      </c>
      <c r="G36" s="46">
        <f>(+GETPIVOTDATA("Sum of "&amp;T(Transactions!$M$19),Pivot!$A$3,"Customer","SWEPCO"))</f>
        <v>205471.02455226809</v>
      </c>
      <c r="H36" s="46">
        <f>-'20XX NOLC Refund Detail'!C19</f>
        <v>1281395.8930471134</v>
      </c>
      <c r="I36" s="57">
        <f>F36+G36+H36</f>
        <v>-1169658.5824006186</v>
      </c>
    </row>
    <row r="37" spans="2:11" x14ac:dyDescent="0.2">
      <c r="C37" s="67" t="s">
        <v>81</v>
      </c>
      <c r="D37" s="56">
        <f>GETPIVOTDATA("Sum of "&amp;T(Transactions!$J$19),Pivot!$A$3,"Customer",C37)</f>
        <v>1771341.5500000003</v>
      </c>
      <c r="E37" s="56">
        <f>GETPIVOTDATA("Sum of "&amp;T(Transactions!$K$19),Pivot!$A$3,"Customer",C37)</f>
        <v>1893180.8499999996</v>
      </c>
      <c r="F37" s="56">
        <f>D37-E37</f>
        <v>-121839.29999999935</v>
      </c>
      <c r="G37" s="46">
        <f>(+GETPIVOTDATA("Sum of "&amp;T(Transactions!$M$19),Pivot!$A$3,"Customer","SWEPCO-Valley"))</f>
        <v>9423.7551274140442</v>
      </c>
      <c r="H37" s="46">
        <f>-'20XX NOLC Refund Detail'!C20</f>
        <v>57916.19855580174</v>
      </c>
      <c r="I37" s="57">
        <f>F37+G37+H37</f>
        <v>-54499.346316783565</v>
      </c>
    </row>
    <row r="38" spans="2:11" ht="24" x14ac:dyDescent="0.2">
      <c r="C38" s="68" t="s">
        <v>51</v>
      </c>
      <c r="D38" s="69">
        <f t="shared" ref="D38:I38" si="3">SUM(D35:D37)</f>
        <v>80796030.700000003</v>
      </c>
      <c r="E38" s="69">
        <f t="shared" si="3"/>
        <v>86353474.899999991</v>
      </c>
      <c r="F38" s="69">
        <f t="shared" si="3"/>
        <v>-5557444.1999999899</v>
      </c>
      <c r="G38" s="70">
        <f t="shared" si="3"/>
        <v>429844.83065043419</v>
      </c>
      <c r="H38" s="70">
        <f t="shared" si="3"/>
        <v>2678624.1832058304</v>
      </c>
      <c r="I38" s="71">
        <f t="shared" si="3"/>
        <v>-2448975.1861437261</v>
      </c>
      <c r="K38" s="72"/>
    </row>
    <row r="39" spans="2:11" ht="23.25" customHeight="1" thickBot="1" x14ac:dyDescent="0.25">
      <c r="C39" s="73" t="s">
        <v>44</v>
      </c>
      <c r="D39" s="74">
        <f t="shared" ref="D39:I39" si="4">SUM(D34,D38)</f>
        <v>109992518.43000001</v>
      </c>
      <c r="E39" s="75">
        <f t="shared" si="4"/>
        <v>117558203.00999999</v>
      </c>
      <c r="F39" s="74">
        <f t="shared" si="4"/>
        <v>-7565684.579999987</v>
      </c>
      <c r="G39" s="75">
        <f t="shared" si="4"/>
        <v>585173.73994410969</v>
      </c>
      <c r="H39" s="75">
        <f t="shared" si="4"/>
        <v>3619762.4097376084</v>
      </c>
      <c r="I39" s="76">
        <f t="shared" si="4"/>
        <v>-3360748.4303182694</v>
      </c>
      <c r="J39" s="77"/>
      <c r="K39" s="72"/>
    </row>
    <row r="41" spans="2:11" x14ac:dyDescent="0.2">
      <c r="D41" s="54"/>
      <c r="E41" s="54"/>
      <c r="F41" s="54"/>
      <c r="G41" s="54"/>
      <c r="H41" s="54"/>
      <c r="I41" s="54"/>
    </row>
    <row r="42" spans="2:11" x14ac:dyDescent="0.2">
      <c r="D42" s="54"/>
    </row>
  </sheetData>
  <mergeCells count="4">
    <mergeCell ref="C1:I1"/>
    <mergeCell ref="C2:I2"/>
    <mergeCell ref="C3:I3"/>
    <mergeCell ref="C4:I4"/>
  </mergeCells>
  <phoneticPr fontId="6" type="noConversion"/>
  <printOptions horizontalCentered="1"/>
  <pageMargins left="0.5" right="0.75" top="0.9" bottom="0.53" header="0.5" footer="0.5"/>
  <pageSetup scale="85" orientation="portrait" horizontalDpi="1200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O126"/>
  <sheetViews>
    <sheetView zoomScale="85" zoomScaleNormal="85" workbookViewId="0">
      <pane xSplit="2" ySplit="4" topLeftCell="C95" activePane="bottomRight" state="frozen"/>
      <selection pane="topRight" activeCell="C1" sqref="C1"/>
      <selection pane="bottomLeft" activeCell="A5" sqref="A5"/>
      <selection pane="bottomRight" activeCell="F105" sqref="F105"/>
    </sheetView>
  </sheetViews>
  <sheetFormatPr defaultColWidth="8.7109375" defaultRowHeight="12.75" x14ac:dyDescent="0.2"/>
  <cols>
    <col min="1" max="1" width="19.140625" customWidth="1"/>
    <col min="2" max="2" width="28.5703125" bestFit="1" customWidth="1"/>
    <col min="3" max="14" width="15.42578125" bestFit="1" customWidth="1"/>
    <col min="15" max="15" width="12.5703125" bestFit="1" customWidth="1"/>
  </cols>
  <sheetData>
    <row r="3" spans="1:15" x14ac:dyDescent="0.2">
      <c r="A3" s="215"/>
      <c r="B3" s="216"/>
      <c r="C3" s="217" t="s">
        <v>53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8"/>
    </row>
    <row r="4" spans="1:15" x14ac:dyDescent="0.2">
      <c r="A4" s="217" t="s">
        <v>0</v>
      </c>
      <c r="B4" s="217" t="s">
        <v>24</v>
      </c>
      <c r="C4" s="219">
        <v>45658</v>
      </c>
      <c r="D4" s="220">
        <v>45689</v>
      </c>
      <c r="E4" s="220">
        <v>45717</v>
      </c>
      <c r="F4" s="220">
        <v>45748</v>
      </c>
      <c r="G4" s="220">
        <v>45778</v>
      </c>
      <c r="H4" s="220">
        <v>45809</v>
      </c>
      <c r="I4" s="220">
        <v>45839</v>
      </c>
      <c r="J4" s="220">
        <v>45870</v>
      </c>
      <c r="K4" s="220">
        <v>45901</v>
      </c>
      <c r="L4" s="220">
        <v>45931</v>
      </c>
      <c r="M4" s="220">
        <v>45962</v>
      </c>
      <c r="N4" s="220">
        <v>45992</v>
      </c>
      <c r="O4" s="221" t="s">
        <v>18</v>
      </c>
    </row>
    <row r="5" spans="1:15" x14ac:dyDescent="0.2">
      <c r="A5" s="215" t="s">
        <v>14</v>
      </c>
      <c r="B5" s="215" t="s">
        <v>70</v>
      </c>
      <c r="C5" s="222">
        <v>1003587.06</v>
      </c>
      <c r="D5" s="223">
        <v>1144878.82</v>
      </c>
      <c r="E5" s="223">
        <v>742820.65</v>
      </c>
      <c r="F5" s="223">
        <v>603606.71000000008</v>
      </c>
      <c r="G5" s="223">
        <v>811388.71000000008</v>
      </c>
      <c r="H5" s="223">
        <v>930863.3600000001</v>
      </c>
      <c r="I5" s="223">
        <v>1067999.48</v>
      </c>
      <c r="J5" s="223">
        <v>1096050.05</v>
      </c>
      <c r="K5" s="223">
        <v>846711.65</v>
      </c>
      <c r="L5" s="223">
        <v>766715.58000000007</v>
      </c>
      <c r="M5" s="223">
        <v>733470.46000000008</v>
      </c>
      <c r="N5" s="223">
        <v>896579.33000000007</v>
      </c>
      <c r="O5" s="224">
        <v>10644671.860000001</v>
      </c>
    </row>
    <row r="6" spans="1:15" x14ac:dyDescent="0.2">
      <c r="A6" s="225"/>
      <c r="B6" s="226" t="s">
        <v>25</v>
      </c>
      <c r="C6" s="227">
        <v>-69030.35999999987</v>
      </c>
      <c r="D6" s="228">
        <v>-78748.919999999925</v>
      </c>
      <c r="E6" s="228">
        <v>-51093.899999999907</v>
      </c>
      <c r="F6" s="228">
        <v>-41518.259999999893</v>
      </c>
      <c r="G6" s="228">
        <v>-55810.259999999893</v>
      </c>
      <c r="H6" s="228">
        <v>-64028.1599999998</v>
      </c>
      <c r="I6" s="228">
        <v>-73460.879999999888</v>
      </c>
      <c r="J6" s="228">
        <v>-75390.299999999814</v>
      </c>
      <c r="K6" s="228">
        <v>-58239.899999999907</v>
      </c>
      <c r="L6" s="228">
        <v>-52737.479999999865</v>
      </c>
      <c r="M6" s="228">
        <v>-50450.759999999893</v>
      </c>
      <c r="N6" s="228">
        <v>-61669.979999999865</v>
      </c>
      <c r="O6" s="229">
        <v>-732179.15999999852</v>
      </c>
    </row>
    <row r="7" spans="1:15" x14ac:dyDescent="0.2">
      <c r="A7" s="225"/>
      <c r="B7" s="226" t="s">
        <v>26</v>
      </c>
      <c r="C7" s="227">
        <v>5339.2067173501273</v>
      </c>
      <c r="D7" s="228">
        <v>6090.8962759004544</v>
      </c>
      <c r="E7" s="228">
        <v>3951.8973114962114</v>
      </c>
      <c r="F7" s="228">
        <v>3211.262011159859</v>
      </c>
      <c r="G7" s="228">
        <v>4316.6878325574007</v>
      </c>
      <c r="H7" s="228">
        <v>4952.3076798609864</v>
      </c>
      <c r="I7" s="228">
        <v>5681.888721983365</v>
      </c>
      <c r="J7" s="228">
        <v>5831.1212078720337</v>
      </c>
      <c r="K7" s="228">
        <v>4504.6102221949823</v>
      </c>
      <c r="L7" s="228">
        <v>4079.0212809569289</v>
      </c>
      <c r="M7" s="228">
        <v>3902.1531495333224</v>
      </c>
      <c r="N7" s="228">
        <v>4769.9124193303924</v>
      </c>
      <c r="O7" s="229">
        <v>56630.96483019607</v>
      </c>
    </row>
    <row r="8" spans="1:15" x14ac:dyDescent="0.2">
      <c r="A8" s="225"/>
      <c r="B8" s="226" t="s">
        <v>27</v>
      </c>
      <c r="C8" s="227">
        <v>-63691.153282649742</v>
      </c>
      <c r="D8" s="228">
        <v>-72658.023724099476</v>
      </c>
      <c r="E8" s="228">
        <v>-47142.002688503693</v>
      </c>
      <c r="F8" s="228">
        <v>-38306.997988840034</v>
      </c>
      <c r="G8" s="228">
        <v>-51493.572167442493</v>
      </c>
      <c r="H8" s="228">
        <v>-59075.852320138816</v>
      </c>
      <c r="I8" s="228">
        <v>-67778.991278016518</v>
      </c>
      <c r="J8" s="228">
        <v>-69559.178792127786</v>
      </c>
      <c r="K8" s="228">
        <v>-53735.289777804923</v>
      </c>
      <c r="L8" s="228">
        <v>-48658.458719042937</v>
      </c>
      <c r="M8" s="228">
        <v>-46548.606850466567</v>
      </c>
      <c r="N8" s="228">
        <v>-56900.067580669471</v>
      </c>
      <c r="O8" s="229">
        <v>-675548.19516980241</v>
      </c>
    </row>
    <row r="9" spans="1:15" x14ac:dyDescent="0.2">
      <c r="A9" s="225"/>
      <c r="B9" s="226" t="s">
        <v>49</v>
      </c>
      <c r="C9" s="230">
        <v>1072617.42</v>
      </c>
      <c r="D9" s="78">
        <v>1223627.74</v>
      </c>
      <c r="E9" s="78">
        <v>793914.54999999993</v>
      </c>
      <c r="F9" s="78">
        <v>645124.97</v>
      </c>
      <c r="G9" s="78">
        <v>867198.97</v>
      </c>
      <c r="H9" s="78">
        <v>994891.5199999999</v>
      </c>
      <c r="I9" s="78">
        <v>1141460.3599999999</v>
      </c>
      <c r="J9" s="78">
        <v>1171440.3499999999</v>
      </c>
      <c r="K9" s="78">
        <v>904951.54999999993</v>
      </c>
      <c r="L9" s="78">
        <v>819453.05999999994</v>
      </c>
      <c r="M9" s="78">
        <v>783921.22</v>
      </c>
      <c r="N9" s="78">
        <v>958249.30999999994</v>
      </c>
      <c r="O9" s="231">
        <v>11376851.020000001</v>
      </c>
    </row>
    <row r="10" spans="1:15" x14ac:dyDescent="0.2">
      <c r="A10" s="225"/>
      <c r="B10" s="226" t="s">
        <v>87</v>
      </c>
      <c r="C10" s="230">
        <v>0</v>
      </c>
      <c r="D10" s="78">
        <v>0</v>
      </c>
      <c r="E10" s="78">
        <v>0</v>
      </c>
      <c r="F10" s="78">
        <v>0</v>
      </c>
      <c r="G10" s="78">
        <v>0</v>
      </c>
      <c r="H10" s="78">
        <v>0</v>
      </c>
      <c r="I10" s="78">
        <v>0</v>
      </c>
      <c r="J10" s="78">
        <v>0</v>
      </c>
      <c r="K10" s="78">
        <v>0</v>
      </c>
      <c r="L10" s="78">
        <v>0</v>
      </c>
      <c r="M10" s="78">
        <v>0</v>
      </c>
      <c r="N10" s="78">
        <v>0</v>
      </c>
      <c r="O10" s="231">
        <v>0</v>
      </c>
    </row>
    <row r="11" spans="1:15" x14ac:dyDescent="0.2">
      <c r="A11" s="225"/>
      <c r="B11" s="226" t="s">
        <v>89</v>
      </c>
      <c r="C11" s="230">
        <v>0</v>
      </c>
      <c r="D11" s="78">
        <v>0</v>
      </c>
      <c r="E11" s="78">
        <v>0</v>
      </c>
      <c r="F11" s="78">
        <v>0</v>
      </c>
      <c r="G11" s="78">
        <v>0</v>
      </c>
      <c r="H11" s="78">
        <v>0</v>
      </c>
      <c r="I11" s="78">
        <v>0</v>
      </c>
      <c r="J11" s="78">
        <v>0</v>
      </c>
      <c r="K11" s="78">
        <v>0</v>
      </c>
      <c r="L11" s="78">
        <v>0</v>
      </c>
      <c r="M11" s="78">
        <v>0</v>
      </c>
      <c r="N11" s="78">
        <v>0</v>
      </c>
      <c r="O11" s="231">
        <v>0</v>
      </c>
    </row>
    <row r="12" spans="1:15" x14ac:dyDescent="0.2">
      <c r="A12" s="215" t="s">
        <v>17</v>
      </c>
      <c r="B12" s="215" t="s">
        <v>70</v>
      </c>
      <c r="C12" s="222">
        <v>110124.46</v>
      </c>
      <c r="D12" s="223">
        <v>105968.82</v>
      </c>
      <c r="E12" s="223">
        <v>103891.00000000001</v>
      </c>
      <c r="F12" s="223">
        <v>62334.600000000006</v>
      </c>
      <c r="G12" s="223">
        <v>99735.360000000015</v>
      </c>
      <c r="H12" s="223">
        <v>123630.29000000001</v>
      </c>
      <c r="I12" s="223">
        <v>122591.38</v>
      </c>
      <c r="J12" s="223">
        <v>123630.29000000001</v>
      </c>
      <c r="K12" s="223">
        <v>104929.91</v>
      </c>
      <c r="L12" s="223">
        <v>110124.46</v>
      </c>
      <c r="M12" s="223">
        <v>36361.850000000006</v>
      </c>
      <c r="N12" s="223">
        <v>107007.73000000001</v>
      </c>
      <c r="O12" s="224">
        <v>1210330.1500000001</v>
      </c>
    </row>
    <row r="13" spans="1:15" x14ac:dyDescent="0.2">
      <c r="A13" s="225"/>
      <c r="B13" s="226" t="s">
        <v>25</v>
      </c>
      <c r="C13" s="227">
        <v>-7574.7599999999802</v>
      </c>
      <c r="D13" s="228">
        <v>-7288.9199999999837</v>
      </c>
      <c r="E13" s="228">
        <v>-7145.9999999999709</v>
      </c>
      <c r="F13" s="228">
        <v>-4287.5999999999913</v>
      </c>
      <c r="G13" s="228">
        <v>-6860.1599999999744</v>
      </c>
      <c r="H13" s="228">
        <v>-8503.7399999999907</v>
      </c>
      <c r="I13" s="228">
        <v>-8432.2799999999843</v>
      </c>
      <c r="J13" s="228">
        <v>-8503.7399999999907</v>
      </c>
      <c r="K13" s="228">
        <v>-7217.4599999999919</v>
      </c>
      <c r="L13" s="228">
        <v>-7574.7599999999802</v>
      </c>
      <c r="M13" s="228">
        <v>-2501.0999999999913</v>
      </c>
      <c r="N13" s="228">
        <v>-7360.3799999999756</v>
      </c>
      <c r="O13" s="229">
        <v>-83250.899999999805</v>
      </c>
    </row>
    <row r="14" spans="1:15" x14ac:dyDescent="0.2">
      <c r="A14" s="225"/>
      <c r="B14" s="226" t="s">
        <v>26</v>
      </c>
      <c r="C14" s="227">
        <v>585.87568534069715</v>
      </c>
      <c r="D14" s="228">
        <v>563.76716891274634</v>
      </c>
      <c r="E14" s="228">
        <v>552.71291069877088</v>
      </c>
      <c r="F14" s="228">
        <v>331.62774641926251</v>
      </c>
      <c r="G14" s="228">
        <v>530.60439427082008</v>
      </c>
      <c r="H14" s="228">
        <v>657.72836373153734</v>
      </c>
      <c r="I14" s="228">
        <v>652.20123462454967</v>
      </c>
      <c r="J14" s="228">
        <v>657.72836373153734</v>
      </c>
      <c r="K14" s="228">
        <v>558.24003980575856</v>
      </c>
      <c r="L14" s="228">
        <v>585.87568534069715</v>
      </c>
      <c r="M14" s="228">
        <v>193.44951874456981</v>
      </c>
      <c r="N14" s="228">
        <v>569.29429801973401</v>
      </c>
      <c r="O14" s="229">
        <v>6439.1054096406815</v>
      </c>
    </row>
    <row r="15" spans="1:15" x14ac:dyDescent="0.2">
      <c r="A15" s="225"/>
      <c r="B15" s="226" t="s">
        <v>27</v>
      </c>
      <c r="C15" s="227">
        <v>-6988.8843146592826</v>
      </c>
      <c r="D15" s="228">
        <v>-6725.1528310872372</v>
      </c>
      <c r="E15" s="228">
        <v>-6593.2870893012005</v>
      </c>
      <c r="F15" s="228">
        <v>-3955.9722535807286</v>
      </c>
      <c r="G15" s="228">
        <v>-6329.5556057291542</v>
      </c>
      <c r="H15" s="228">
        <v>-7846.011636268453</v>
      </c>
      <c r="I15" s="228">
        <v>-7780.0787653754342</v>
      </c>
      <c r="J15" s="228">
        <v>-7846.011636268453</v>
      </c>
      <c r="K15" s="228">
        <v>-6659.219960194233</v>
      </c>
      <c r="L15" s="228">
        <v>-6988.8843146592826</v>
      </c>
      <c r="M15" s="228">
        <v>-2307.6504812554213</v>
      </c>
      <c r="N15" s="228">
        <v>-6791.0857019802415</v>
      </c>
      <c r="O15" s="229">
        <v>-76811.794590359103</v>
      </c>
    </row>
    <row r="16" spans="1:15" x14ac:dyDescent="0.2">
      <c r="A16" s="225"/>
      <c r="B16" s="226" t="s">
        <v>49</v>
      </c>
      <c r="C16" s="230">
        <v>117699.21999999999</v>
      </c>
      <c r="D16" s="78">
        <v>113257.73999999999</v>
      </c>
      <c r="E16" s="78">
        <v>111036.99999999999</v>
      </c>
      <c r="F16" s="78">
        <v>66622.2</v>
      </c>
      <c r="G16" s="78">
        <v>106595.51999999999</v>
      </c>
      <c r="H16" s="78">
        <v>132134.03</v>
      </c>
      <c r="I16" s="78">
        <v>131023.65999999999</v>
      </c>
      <c r="J16" s="78">
        <v>132134.03</v>
      </c>
      <c r="K16" s="78">
        <v>112147.37</v>
      </c>
      <c r="L16" s="78">
        <v>117699.21999999999</v>
      </c>
      <c r="M16" s="78">
        <v>38862.949999999997</v>
      </c>
      <c r="N16" s="78">
        <v>114368.10999999999</v>
      </c>
      <c r="O16" s="231">
        <v>1293581.0499999998</v>
      </c>
    </row>
    <row r="17" spans="1:15" x14ac:dyDescent="0.2">
      <c r="A17" s="225"/>
      <c r="B17" s="226" t="s">
        <v>87</v>
      </c>
      <c r="C17" s="230">
        <v>0</v>
      </c>
      <c r="D17" s="78">
        <v>0</v>
      </c>
      <c r="E17" s="78">
        <v>0</v>
      </c>
      <c r="F17" s="78">
        <v>0</v>
      </c>
      <c r="G17" s="78">
        <v>0</v>
      </c>
      <c r="H17" s="78">
        <v>0</v>
      </c>
      <c r="I17" s="78">
        <v>0</v>
      </c>
      <c r="J17" s="78">
        <v>0</v>
      </c>
      <c r="K17" s="78">
        <v>0</v>
      </c>
      <c r="L17" s="78">
        <v>0</v>
      </c>
      <c r="M17" s="78">
        <v>0</v>
      </c>
      <c r="N17" s="78">
        <v>0</v>
      </c>
      <c r="O17" s="231">
        <v>0</v>
      </c>
    </row>
    <row r="18" spans="1:15" x14ac:dyDescent="0.2">
      <c r="A18" s="225"/>
      <c r="B18" s="226" t="s">
        <v>89</v>
      </c>
      <c r="C18" s="230">
        <v>0</v>
      </c>
      <c r="D18" s="78">
        <v>0</v>
      </c>
      <c r="E18" s="78">
        <v>0</v>
      </c>
      <c r="F18" s="78">
        <v>0</v>
      </c>
      <c r="G18" s="78">
        <v>0</v>
      </c>
      <c r="H18" s="78">
        <v>0</v>
      </c>
      <c r="I18" s="78">
        <v>0</v>
      </c>
      <c r="J18" s="78">
        <v>0</v>
      </c>
      <c r="K18" s="78">
        <v>0</v>
      </c>
      <c r="L18" s="78">
        <v>0</v>
      </c>
      <c r="M18" s="78">
        <v>0</v>
      </c>
      <c r="N18" s="78">
        <v>0</v>
      </c>
      <c r="O18" s="231">
        <v>0</v>
      </c>
    </row>
    <row r="19" spans="1:15" x14ac:dyDescent="0.2">
      <c r="A19" s="215" t="s">
        <v>13</v>
      </c>
      <c r="B19" s="215" t="s">
        <v>70</v>
      </c>
      <c r="C19" s="222">
        <v>1366166.6500000001</v>
      </c>
      <c r="D19" s="223">
        <v>1430579.07</v>
      </c>
      <c r="E19" s="223">
        <v>821777.81</v>
      </c>
      <c r="F19" s="223">
        <v>626462.7300000001</v>
      </c>
      <c r="G19" s="223">
        <v>766715.58000000007</v>
      </c>
      <c r="H19" s="223">
        <v>882034.59000000008</v>
      </c>
      <c r="I19" s="223">
        <v>1016053.9800000001</v>
      </c>
      <c r="J19" s="223">
        <v>1038910.0000000001</v>
      </c>
      <c r="K19" s="223">
        <v>876840.04</v>
      </c>
      <c r="L19" s="223">
        <v>789571.60000000009</v>
      </c>
      <c r="M19" s="223">
        <v>777104.68</v>
      </c>
      <c r="N19" s="223">
        <v>1111633.7000000002</v>
      </c>
      <c r="O19" s="224">
        <v>11503850.43</v>
      </c>
    </row>
    <row r="20" spans="1:15" x14ac:dyDescent="0.2">
      <c r="A20" s="225"/>
      <c r="B20" s="226" t="s">
        <v>25</v>
      </c>
      <c r="C20" s="227">
        <v>-93969.899999999674</v>
      </c>
      <c r="D20" s="228">
        <v>-98400.419999999693</v>
      </c>
      <c r="E20" s="228">
        <v>-56524.85999999987</v>
      </c>
      <c r="F20" s="228">
        <v>-43090.379999999888</v>
      </c>
      <c r="G20" s="228">
        <v>-52737.479999999865</v>
      </c>
      <c r="H20" s="228">
        <v>-60669.539999999804</v>
      </c>
      <c r="I20" s="228">
        <v>-69887.879999999772</v>
      </c>
      <c r="J20" s="228">
        <v>-71459.999999999884</v>
      </c>
      <c r="K20" s="228">
        <v>-60312.239999999874</v>
      </c>
      <c r="L20" s="228">
        <v>-54309.59999999986</v>
      </c>
      <c r="M20" s="228">
        <v>-53452.079999999842</v>
      </c>
      <c r="N20" s="228">
        <v>-76462.199999999721</v>
      </c>
      <c r="O20" s="229">
        <v>-791276.57999999775</v>
      </c>
    </row>
    <row r="21" spans="1:15" x14ac:dyDescent="0.2">
      <c r="A21" s="225"/>
      <c r="B21" s="226" t="s">
        <v>26</v>
      </c>
      <c r="C21" s="227">
        <v>7268.1747756888371</v>
      </c>
      <c r="D21" s="228">
        <v>7610.8567803220749</v>
      </c>
      <c r="E21" s="228">
        <v>4371.9591236272772</v>
      </c>
      <c r="F21" s="228">
        <v>3332.8588515135884</v>
      </c>
      <c r="G21" s="228">
        <v>4079.0212809569289</v>
      </c>
      <c r="H21" s="228">
        <v>4692.5326118325647</v>
      </c>
      <c r="I21" s="228">
        <v>5405.5322666339798</v>
      </c>
      <c r="J21" s="228">
        <v>5527.1291069877088</v>
      </c>
      <c r="K21" s="228">
        <v>4664.8969662976269</v>
      </c>
      <c r="L21" s="228">
        <v>4200.6181213106584</v>
      </c>
      <c r="M21" s="228">
        <v>4134.2925720268058</v>
      </c>
      <c r="N21" s="228">
        <v>5914.0281444768489</v>
      </c>
      <c r="O21" s="229">
        <v>61201.900601674897</v>
      </c>
    </row>
    <row r="22" spans="1:15" x14ac:dyDescent="0.2">
      <c r="A22" s="225"/>
      <c r="B22" s="226" t="s">
        <v>27</v>
      </c>
      <c r="C22" s="227">
        <v>-86701.725224310838</v>
      </c>
      <c r="D22" s="228">
        <v>-90789.563219677613</v>
      </c>
      <c r="E22" s="228">
        <v>-52152.900876372594</v>
      </c>
      <c r="F22" s="228">
        <v>-39757.521148486303</v>
      </c>
      <c r="G22" s="228">
        <v>-48658.458719042937</v>
      </c>
      <c r="H22" s="228">
        <v>-55977.007388167243</v>
      </c>
      <c r="I22" s="228">
        <v>-64482.347733365794</v>
      </c>
      <c r="J22" s="228">
        <v>-65932.870893012179</v>
      </c>
      <c r="K22" s="228">
        <v>-55647.343033702244</v>
      </c>
      <c r="L22" s="228">
        <v>-50108.981878689199</v>
      </c>
      <c r="M22" s="228">
        <v>-49317.787427973039</v>
      </c>
      <c r="N22" s="228">
        <v>-70548.171855522873</v>
      </c>
      <c r="O22" s="229">
        <v>-730074.67939832283</v>
      </c>
    </row>
    <row r="23" spans="1:15" x14ac:dyDescent="0.2">
      <c r="A23" s="225"/>
      <c r="B23" s="226" t="s">
        <v>49</v>
      </c>
      <c r="C23" s="230">
        <v>1460136.5499999998</v>
      </c>
      <c r="D23" s="78">
        <v>1528979.4899999998</v>
      </c>
      <c r="E23" s="78">
        <v>878302.66999999993</v>
      </c>
      <c r="F23" s="78">
        <v>669553.11</v>
      </c>
      <c r="G23" s="78">
        <v>819453.05999999994</v>
      </c>
      <c r="H23" s="78">
        <v>942704.12999999989</v>
      </c>
      <c r="I23" s="78">
        <v>1085941.8599999999</v>
      </c>
      <c r="J23" s="78">
        <v>1110370</v>
      </c>
      <c r="K23" s="78">
        <v>937152.27999999991</v>
      </c>
      <c r="L23" s="78">
        <v>843881.2</v>
      </c>
      <c r="M23" s="78">
        <v>830556.75999999989</v>
      </c>
      <c r="N23" s="78">
        <v>1188095.8999999999</v>
      </c>
      <c r="O23" s="231">
        <v>12295127.009999998</v>
      </c>
    </row>
    <row r="24" spans="1:15" x14ac:dyDescent="0.2">
      <c r="A24" s="225"/>
      <c r="B24" s="226" t="s">
        <v>87</v>
      </c>
      <c r="C24" s="230">
        <v>0</v>
      </c>
      <c r="D24" s="78">
        <v>0</v>
      </c>
      <c r="E24" s="78">
        <v>0</v>
      </c>
      <c r="F24" s="78">
        <v>0</v>
      </c>
      <c r="G24" s="78">
        <v>0</v>
      </c>
      <c r="H24" s="78">
        <v>0</v>
      </c>
      <c r="I24" s="78">
        <v>0</v>
      </c>
      <c r="J24" s="78">
        <v>0</v>
      </c>
      <c r="K24" s="78">
        <v>0</v>
      </c>
      <c r="L24" s="78">
        <v>0</v>
      </c>
      <c r="M24" s="78">
        <v>0</v>
      </c>
      <c r="N24" s="78">
        <v>0</v>
      </c>
      <c r="O24" s="231">
        <v>0</v>
      </c>
    </row>
    <row r="25" spans="1:15" x14ac:dyDescent="0.2">
      <c r="A25" s="225"/>
      <c r="B25" s="226" t="s">
        <v>89</v>
      </c>
      <c r="C25" s="230">
        <v>0</v>
      </c>
      <c r="D25" s="78">
        <v>0</v>
      </c>
      <c r="E25" s="78">
        <v>0</v>
      </c>
      <c r="F25" s="78">
        <v>0</v>
      </c>
      <c r="G25" s="78">
        <v>0</v>
      </c>
      <c r="H25" s="78">
        <v>0</v>
      </c>
      <c r="I25" s="78">
        <v>0</v>
      </c>
      <c r="J25" s="78">
        <v>0</v>
      </c>
      <c r="K25" s="78">
        <v>0</v>
      </c>
      <c r="L25" s="78">
        <v>0</v>
      </c>
      <c r="M25" s="78">
        <v>0</v>
      </c>
      <c r="N25" s="78">
        <v>0</v>
      </c>
      <c r="O25" s="231">
        <v>0</v>
      </c>
    </row>
    <row r="26" spans="1:15" x14ac:dyDescent="0.2">
      <c r="A26" s="215" t="s">
        <v>15</v>
      </c>
      <c r="B26" s="215" t="s">
        <v>70</v>
      </c>
      <c r="C26" s="222">
        <v>7272.3700000000008</v>
      </c>
      <c r="D26" s="223">
        <v>8311.2800000000007</v>
      </c>
      <c r="E26" s="223">
        <v>7272.3700000000008</v>
      </c>
      <c r="F26" s="223">
        <v>3116.7300000000005</v>
      </c>
      <c r="G26" s="223">
        <v>5194.55</v>
      </c>
      <c r="H26" s="223">
        <v>10389.1</v>
      </c>
      <c r="I26" s="223">
        <v>17661.47</v>
      </c>
      <c r="J26" s="223">
        <v>16622.560000000001</v>
      </c>
      <c r="K26" s="223">
        <v>8311.2800000000007</v>
      </c>
      <c r="L26" s="223">
        <v>8311.2800000000007</v>
      </c>
      <c r="M26" s="223">
        <v>6233.4600000000009</v>
      </c>
      <c r="N26" s="223">
        <v>7272.3700000000008</v>
      </c>
      <c r="O26" s="224">
        <v>105968.82</v>
      </c>
    </row>
    <row r="27" spans="1:15" x14ac:dyDescent="0.2">
      <c r="A27" s="225"/>
      <c r="B27" s="226" t="s">
        <v>25</v>
      </c>
      <c r="C27" s="227">
        <v>-500.21999999999844</v>
      </c>
      <c r="D27" s="228">
        <v>-571.67999999999847</v>
      </c>
      <c r="E27" s="228">
        <v>-500.21999999999844</v>
      </c>
      <c r="F27" s="228">
        <v>-214.3799999999992</v>
      </c>
      <c r="G27" s="228">
        <v>-357.29999999999927</v>
      </c>
      <c r="H27" s="228">
        <v>-714.59999999999854</v>
      </c>
      <c r="I27" s="228">
        <v>-1214.8199999999961</v>
      </c>
      <c r="J27" s="228">
        <v>-1143.3599999999969</v>
      </c>
      <c r="K27" s="228">
        <v>-571.67999999999847</v>
      </c>
      <c r="L27" s="228">
        <v>-571.67999999999847</v>
      </c>
      <c r="M27" s="228">
        <v>-428.7599999999984</v>
      </c>
      <c r="N27" s="228">
        <v>-500.21999999999844</v>
      </c>
      <c r="O27" s="229">
        <v>-7288.9199999999792</v>
      </c>
    </row>
    <row r="28" spans="1:15" x14ac:dyDescent="0.2">
      <c r="A28" s="225"/>
      <c r="B28" s="226" t="s">
        <v>26</v>
      </c>
      <c r="C28" s="227">
        <v>38.689903748913956</v>
      </c>
      <c r="D28" s="228">
        <v>44.217032855901664</v>
      </c>
      <c r="E28" s="228">
        <v>38.689903748913956</v>
      </c>
      <c r="F28" s="228">
        <v>16.581387320963128</v>
      </c>
      <c r="G28" s="228">
        <v>27.635645534938543</v>
      </c>
      <c r="H28" s="228">
        <v>55.271291069877087</v>
      </c>
      <c r="I28" s="228">
        <v>93.961194818791043</v>
      </c>
      <c r="J28" s="228">
        <v>88.434065711803328</v>
      </c>
      <c r="K28" s="228">
        <v>44.217032855901664</v>
      </c>
      <c r="L28" s="228">
        <v>44.217032855901664</v>
      </c>
      <c r="M28" s="228">
        <v>33.162774641926255</v>
      </c>
      <c r="N28" s="228">
        <v>38.689903748913956</v>
      </c>
      <c r="O28" s="229">
        <v>563.76716891274623</v>
      </c>
    </row>
    <row r="29" spans="1:15" x14ac:dyDescent="0.2">
      <c r="A29" s="225"/>
      <c r="B29" s="226" t="s">
        <v>27</v>
      </c>
      <c r="C29" s="227">
        <v>-461.5300962510845</v>
      </c>
      <c r="D29" s="228">
        <v>-527.46296714409687</v>
      </c>
      <c r="E29" s="228">
        <v>-461.5300962510845</v>
      </c>
      <c r="F29" s="228">
        <v>-197.79861267903607</v>
      </c>
      <c r="G29" s="228">
        <v>-329.66435446506074</v>
      </c>
      <c r="H29" s="228">
        <v>-659.32870893012148</v>
      </c>
      <c r="I29" s="228">
        <v>-1120.8588051812051</v>
      </c>
      <c r="J29" s="228">
        <v>-1054.9259342881937</v>
      </c>
      <c r="K29" s="228">
        <v>-527.46296714409687</v>
      </c>
      <c r="L29" s="228">
        <v>-527.46296714409687</v>
      </c>
      <c r="M29" s="228">
        <v>-395.59722535807214</v>
      </c>
      <c r="N29" s="228">
        <v>-461.5300962510845</v>
      </c>
      <c r="O29" s="229">
        <v>-6725.1528310872336</v>
      </c>
    </row>
    <row r="30" spans="1:15" x14ac:dyDescent="0.2">
      <c r="A30" s="225"/>
      <c r="B30" s="226" t="s">
        <v>49</v>
      </c>
      <c r="C30" s="230">
        <v>7772.5899999999992</v>
      </c>
      <c r="D30" s="78">
        <v>8882.9599999999991</v>
      </c>
      <c r="E30" s="78">
        <v>7772.5899999999992</v>
      </c>
      <c r="F30" s="78">
        <v>3331.1099999999997</v>
      </c>
      <c r="G30" s="78">
        <v>5551.8499999999995</v>
      </c>
      <c r="H30" s="78">
        <v>11103.699999999999</v>
      </c>
      <c r="I30" s="78">
        <v>18876.289999999997</v>
      </c>
      <c r="J30" s="78">
        <v>17765.919999999998</v>
      </c>
      <c r="K30" s="78">
        <v>8882.9599999999991</v>
      </c>
      <c r="L30" s="78">
        <v>8882.9599999999991</v>
      </c>
      <c r="M30" s="78">
        <v>6662.2199999999993</v>
      </c>
      <c r="N30" s="78">
        <v>7772.5899999999992</v>
      </c>
      <c r="O30" s="231">
        <v>113257.73999999999</v>
      </c>
    </row>
    <row r="31" spans="1:15" x14ac:dyDescent="0.2">
      <c r="A31" s="225"/>
      <c r="B31" s="226" t="s">
        <v>87</v>
      </c>
      <c r="C31" s="230">
        <v>0</v>
      </c>
      <c r="D31" s="78">
        <v>0</v>
      </c>
      <c r="E31" s="78">
        <v>0</v>
      </c>
      <c r="F31" s="78">
        <v>0</v>
      </c>
      <c r="G31" s="78">
        <v>0</v>
      </c>
      <c r="H31" s="78">
        <v>0</v>
      </c>
      <c r="I31" s="78">
        <v>0</v>
      </c>
      <c r="J31" s="78">
        <v>0</v>
      </c>
      <c r="K31" s="78">
        <v>0</v>
      </c>
      <c r="L31" s="78">
        <v>0</v>
      </c>
      <c r="M31" s="78">
        <v>0</v>
      </c>
      <c r="N31" s="78">
        <v>0</v>
      </c>
      <c r="O31" s="231">
        <v>0</v>
      </c>
    </row>
    <row r="32" spans="1:15" x14ac:dyDescent="0.2">
      <c r="A32" s="225"/>
      <c r="B32" s="226" t="s">
        <v>89</v>
      </c>
      <c r="C32" s="230">
        <v>0</v>
      </c>
      <c r="D32" s="78">
        <v>0</v>
      </c>
      <c r="E32" s="78">
        <v>0</v>
      </c>
      <c r="F32" s="78">
        <v>0</v>
      </c>
      <c r="G32" s="78">
        <v>0</v>
      </c>
      <c r="H32" s="78">
        <v>0</v>
      </c>
      <c r="I32" s="78">
        <v>0</v>
      </c>
      <c r="J32" s="78">
        <v>0</v>
      </c>
      <c r="K32" s="78">
        <v>0</v>
      </c>
      <c r="L32" s="78">
        <v>0</v>
      </c>
      <c r="M32" s="78">
        <v>0</v>
      </c>
      <c r="N32" s="78">
        <v>0</v>
      </c>
      <c r="O32" s="231">
        <v>0</v>
      </c>
    </row>
    <row r="33" spans="1:15" x14ac:dyDescent="0.2">
      <c r="A33" s="215" t="s">
        <v>16</v>
      </c>
      <c r="B33" s="215" t="s">
        <v>70</v>
      </c>
      <c r="C33" s="222">
        <v>2077.8200000000002</v>
      </c>
      <c r="D33" s="223">
        <v>3116.7300000000005</v>
      </c>
      <c r="E33" s="223">
        <v>2077.8200000000002</v>
      </c>
      <c r="F33" s="223">
        <v>1038.9100000000001</v>
      </c>
      <c r="G33" s="223">
        <v>2077.8200000000002</v>
      </c>
      <c r="H33" s="223">
        <v>3116.7300000000005</v>
      </c>
      <c r="I33" s="223">
        <v>7272.3700000000008</v>
      </c>
      <c r="J33" s="223">
        <v>5194.55</v>
      </c>
      <c r="K33" s="223">
        <v>2077.8200000000002</v>
      </c>
      <c r="L33" s="223">
        <v>3116.7300000000005</v>
      </c>
      <c r="M33" s="223">
        <v>1038.9100000000001</v>
      </c>
      <c r="N33" s="223">
        <v>2077.8200000000002</v>
      </c>
      <c r="O33" s="224">
        <v>34284.030000000006</v>
      </c>
    </row>
    <row r="34" spans="1:15" x14ac:dyDescent="0.2">
      <c r="A34" s="225"/>
      <c r="B34" s="226" t="s">
        <v>25</v>
      </c>
      <c r="C34" s="227">
        <v>-142.91999999999962</v>
      </c>
      <c r="D34" s="228">
        <v>-214.3799999999992</v>
      </c>
      <c r="E34" s="228">
        <v>-142.91999999999962</v>
      </c>
      <c r="F34" s="228">
        <v>-71.459999999999809</v>
      </c>
      <c r="G34" s="228">
        <v>-142.91999999999962</v>
      </c>
      <c r="H34" s="228">
        <v>-214.3799999999992</v>
      </c>
      <c r="I34" s="228">
        <v>-500.21999999999844</v>
      </c>
      <c r="J34" s="228">
        <v>-357.29999999999927</v>
      </c>
      <c r="K34" s="228">
        <v>-142.91999999999962</v>
      </c>
      <c r="L34" s="228">
        <v>-214.3799999999992</v>
      </c>
      <c r="M34" s="228">
        <v>-71.459999999999809</v>
      </c>
      <c r="N34" s="228">
        <v>-142.91999999999962</v>
      </c>
      <c r="O34" s="229">
        <v>-2358.1799999999935</v>
      </c>
    </row>
    <row r="35" spans="1:15" x14ac:dyDescent="0.2">
      <c r="A35" s="225"/>
      <c r="B35" s="226" t="s">
        <v>26</v>
      </c>
      <c r="C35" s="227">
        <v>11.054258213975416</v>
      </c>
      <c r="D35" s="228">
        <v>16.581387320963128</v>
      </c>
      <c r="E35" s="228">
        <v>11.054258213975416</v>
      </c>
      <c r="F35" s="228">
        <v>5.527129106987708</v>
      </c>
      <c r="G35" s="228">
        <v>11.054258213975416</v>
      </c>
      <c r="H35" s="228">
        <v>16.581387320963128</v>
      </c>
      <c r="I35" s="228">
        <v>38.689903748913956</v>
      </c>
      <c r="J35" s="228">
        <v>27.635645534938543</v>
      </c>
      <c r="K35" s="228">
        <v>11.054258213975416</v>
      </c>
      <c r="L35" s="228">
        <v>16.581387320963128</v>
      </c>
      <c r="M35" s="228">
        <v>5.527129106987708</v>
      </c>
      <c r="N35" s="228">
        <v>11.054258213975416</v>
      </c>
      <c r="O35" s="229">
        <v>182.39526053059438</v>
      </c>
    </row>
    <row r="36" spans="1:15" x14ac:dyDescent="0.2">
      <c r="A36" s="225"/>
      <c r="B36" s="226" t="s">
        <v>27</v>
      </c>
      <c r="C36" s="227">
        <v>-131.86574178602422</v>
      </c>
      <c r="D36" s="228">
        <v>-197.79861267903607</v>
      </c>
      <c r="E36" s="228">
        <v>-131.86574178602422</v>
      </c>
      <c r="F36" s="228">
        <v>-65.932870893012108</v>
      </c>
      <c r="G36" s="228">
        <v>-131.86574178602422</v>
      </c>
      <c r="H36" s="228">
        <v>-197.79861267903607</v>
      </c>
      <c r="I36" s="228">
        <v>-461.5300962510845</v>
      </c>
      <c r="J36" s="228">
        <v>-329.66435446506074</v>
      </c>
      <c r="K36" s="228">
        <v>-131.86574178602422</v>
      </c>
      <c r="L36" s="228">
        <v>-197.79861267903607</v>
      </c>
      <c r="M36" s="228">
        <v>-65.932870893012108</v>
      </c>
      <c r="N36" s="228">
        <v>-131.86574178602422</v>
      </c>
      <c r="O36" s="229">
        <v>-2175.7847394693986</v>
      </c>
    </row>
    <row r="37" spans="1:15" x14ac:dyDescent="0.2">
      <c r="A37" s="225"/>
      <c r="B37" s="226" t="s">
        <v>49</v>
      </c>
      <c r="C37" s="230">
        <v>2220.7399999999998</v>
      </c>
      <c r="D37" s="78">
        <v>3331.1099999999997</v>
      </c>
      <c r="E37" s="78">
        <v>2220.7399999999998</v>
      </c>
      <c r="F37" s="78">
        <v>1110.3699999999999</v>
      </c>
      <c r="G37" s="78">
        <v>2220.7399999999998</v>
      </c>
      <c r="H37" s="78">
        <v>3331.1099999999997</v>
      </c>
      <c r="I37" s="78">
        <v>7772.5899999999992</v>
      </c>
      <c r="J37" s="78">
        <v>5551.8499999999995</v>
      </c>
      <c r="K37" s="78">
        <v>2220.7399999999998</v>
      </c>
      <c r="L37" s="78">
        <v>3331.1099999999997</v>
      </c>
      <c r="M37" s="78">
        <v>1110.3699999999999</v>
      </c>
      <c r="N37" s="78">
        <v>2220.7399999999998</v>
      </c>
      <c r="O37" s="231">
        <v>36642.21</v>
      </c>
    </row>
    <row r="38" spans="1:15" x14ac:dyDescent="0.2">
      <c r="A38" s="225"/>
      <c r="B38" s="226" t="s">
        <v>87</v>
      </c>
      <c r="C38" s="230">
        <v>0</v>
      </c>
      <c r="D38" s="78">
        <v>0</v>
      </c>
      <c r="E38" s="78">
        <v>0</v>
      </c>
      <c r="F38" s="78">
        <v>0</v>
      </c>
      <c r="G38" s="78">
        <v>0</v>
      </c>
      <c r="H38" s="78">
        <v>0</v>
      </c>
      <c r="I38" s="78">
        <v>0</v>
      </c>
      <c r="J38" s="78">
        <v>0</v>
      </c>
      <c r="K38" s="78">
        <v>0</v>
      </c>
      <c r="L38" s="78">
        <v>0</v>
      </c>
      <c r="M38" s="78">
        <v>0</v>
      </c>
      <c r="N38" s="78">
        <v>0</v>
      </c>
      <c r="O38" s="231">
        <v>0</v>
      </c>
    </row>
    <row r="39" spans="1:15" x14ac:dyDescent="0.2">
      <c r="A39" s="225"/>
      <c r="B39" s="226" t="s">
        <v>89</v>
      </c>
      <c r="C39" s="230">
        <v>0</v>
      </c>
      <c r="D39" s="78">
        <v>0</v>
      </c>
      <c r="E39" s="78">
        <v>0</v>
      </c>
      <c r="F39" s="78">
        <v>0</v>
      </c>
      <c r="G39" s="78">
        <v>0</v>
      </c>
      <c r="H39" s="78">
        <v>0</v>
      </c>
      <c r="I39" s="78">
        <v>0</v>
      </c>
      <c r="J39" s="78">
        <v>0</v>
      </c>
      <c r="K39" s="78">
        <v>0</v>
      </c>
      <c r="L39" s="78">
        <v>0</v>
      </c>
      <c r="M39" s="78">
        <v>0</v>
      </c>
      <c r="N39" s="78">
        <v>0</v>
      </c>
      <c r="O39" s="231">
        <v>0</v>
      </c>
    </row>
    <row r="40" spans="1:15" x14ac:dyDescent="0.2">
      <c r="A40" s="215" t="s">
        <v>19</v>
      </c>
      <c r="B40" s="215" t="s">
        <v>70</v>
      </c>
      <c r="C40" s="222">
        <v>72723.700000000012</v>
      </c>
      <c r="D40" s="223">
        <v>51945.500000000007</v>
      </c>
      <c r="E40" s="223">
        <v>69606.97</v>
      </c>
      <c r="F40" s="223">
        <v>73762.61</v>
      </c>
      <c r="G40" s="223">
        <v>66490.240000000005</v>
      </c>
      <c r="H40" s="223">
        <v>74801.52</v>
      </c>
      <c r="I40" s="223">
        <v>11428.01</v>
      </c>
      <c r="J40" s="223">
        <v>64412.420000000006</v>
      </c>
      <c r="K40" s="223">
        <v>74801.52</v>
      </c>
      <c r="L40" s="223">
        <v>74801.52</v>
      </c>
      <c r="M40" s="223">
        <v>69606.97</v>
      </c>
      <c r="N40" s="223">
        <v>70645.88</v>
      </c>
      <c r="O40" s="224">
        <v>775026.86</v>
      </c>
    </row>
    <row r="41" spans="1:15" x14ac:dyDescent="0.2">
      <c r="A41" s="225"/>
      <c r="B41" s="226" t="s">
        <v>25</v>
      </c>
      <c r="C41" s="227">
        <v>-5002.1999999999825</v>
      </c>
      <c r="D41" s="228">
        <v>-3572.9999999999854</v>
      </c>
      <c r="E41" s="228">
        <v>-4787.8199999999924</v>
      </c>
      <c r="F41" s="228">
        <v>-5073.6599999999889</v>
      </c>
      <c r="G41" s="228">
        <v>-4573.4399999999878</v>
      </c>
      <c r="H41" s="228">
        <v>-5145.1199999999808</v>
      </c>
      <c r="I41" s="228">
        <v>-786.05999999999949</v>
      </c>
      <c r="J41" s="228">
        <v>-4430.5199999999822</v>
      </c>
      <c r="K41" s="228">
        <v>-5145.1199999999808</v>
      </c>
      <c r="L41" s="228">
        <v>-5145.1199999999808</v>
      </c>
      <c r="M41" s="228">
        <v>-4787.8199999999924</v>
      </c>
      <c r="N41" s="228">
        <v>-4859.2799999999843</v>
      </c>
      <c r="O41" s="229">
        <v>-53309.159999999836</v>
      </c>
    </row>
    <row r="42" spans="1:15" x14ac:dyDescent="0.2">
      <c r="A42" s="225"/>
      <c r="B42" s="226" t="s">
        <v>26</v>
      </c>
      <c r="C42" s="227">
        <v>386.89903748913963</v>
      </c>
      <c r="D42" s="228">
        <v>276.35645534938544</v>
      </c>
      <c r="E42" s="228">
        <v>370.3176501681765</v>
      </c>
      <c r="F42" s="228">
        <v>392.42616659612736</v>
      </c>
      <c r="G42" s="228">
        <v>353.73626284721331</v>
      </c>
      <c r="H42" s="228">
        <v>397.95329570311503</v>
      </c>
      <c r="I42" s="228">
        <v>60.798420176864802</v>
      </c>
      <c r="J42" s="228">
        <v>342.68200463323797</v>
      </c>
      <c r="K42" s="228">
        <v>397.95329570311503</v>
      </c>
      <c r="L42" s="228">
        <v>397.95329570311503</v>
      </c>
      <c r="M42" s="228">
        <v>370.3176501681765</v>
      </c>
      <c r="N42" s="228">
        <v>375.84477927516417</v>
      </c>
      <c r="O42" s="229">
        <v>4123.2383138128307</v>
      </c>
    </row>
    <row r="43" spans="1:15" x14ac:dyDescent="0.2">
      <c r="A43" s="225"/>
      <c r="B43" s="226" t="s">
        <v>27</v>
      </c>
      <c r="C43" s="227">
        <v>-4615.3009625108425</v>
      </c>
      <c r="D43" s="228">
        <v>-3296.6435446506002</v>
      </c>
      <c r="E43" s="228">
        <v>-4417.502349831816</v>
      </c>
      <c r="F43" s="228">
        <v>-4681.2338334038614</v>
      </c>
      <c r="G43" s="228">
        <v>-4219.7037371527749</v>
      </c>
      <c r="H43" s="228">
        <v>-4747.1667042968656</v>
      </c>
      <c r="I43" s="228">
        <v>-725.26157982313464</v>
      </c>
      <c r="J43" s="228">
        <v>-4087.8379953667445</v>
      </c>
      <c r="K43" s="228">
        <v>-4747.1667042968656</v>
      </c>
      <c r="L43" s="228">
        <v>-4747.1667042968656</v>
      </c>
      <c r="M43" s="228">
        <v>-4417.502349831816</v>
      </c>
      <c r="N43" s="228">
        <v>-4483.4352207248203</v>
      </c>
      <c r="O43" s="229">
        <v>-49185.921686187001</v>
      </c>
    </row>
    <row r="44" spans="1:15" x14ac:dyDescent="0.2">
      <c r="A44" s="225"/>
      <c r="B44" s="226" t="s">
        <v>49</v>
      </c>
      <c r="C44" s="230">
        <v>77725.899999999994</v>
      </c>
      <c r="D44" s="78">
        <v>55518.499999999993</v>
      </c>
      <c r="E44" s="78">
        <v>74394.789999999994</v>
      </c>
      <c r="F44" s="78">
        <v>78836.26999999999</v>
      </c>
      <c r="G44" s="78">
        <v>71063.679999999993</v>
      </c>
      <c r="H44" s="78">
        <v>79946.639999999985</v>
      </c>
      <c r="I44" s="78">
        <v>12214.07</v>
      </c>
      <c r="J44" s="78">
        <v>68842.939999999988</v>
      </c>
      <c r="K44" s="78">
        <v>79946.639999999985</v>
      </c>
      <c r="L44" s="78">
        <v>79946.639999999985</v>
      </c>
      <c r="M44" s="78">
        <v>74394.789999999994</v>
      </c>
      <c r="N44" s="78">
        <v>75505.159999999989</v>
      </c>
      <c r="O44" s="231">
        <v>828336.02</v>
      </c>
    </row>
    <row r="45" spans="1:15" x14ac:dyDescent="0.2">
      <c r="A45" s="225"/>
      <c r="B45" s="226" t="s">
        <v>87</v>
      </c>
      <c r="C45" s="230">
        <v>0</v>
      </c>
      <c r="D45" s="78">
        <v>0</v>
      </c>
      <c r="E45" s="78">
        <v>0</v>
      </c>
      <c r="F45" s="78">
        <v>0</v>
      </c>
      <c r="G45" s="78">
        <v>0</v>
      </c>
      <c r="H45" s="78">
        <v>0</v>
      </c>
      <c r="I45" s="78">
        <v>0</v>
      </c>
      <c r="J45" s="78">
        <v>0</v>
      </c>
      <c r="K45" s="78">
        <v>0</v>
      </c>
      <c r="L45" s="78">
        <v>0</v>
      </c>
      <c r="M45" s="78">
        <v>0</v>
      </c>
      <c r="N45" s="78">
        <v>0</v>
      </c>
      <c r="O45" s="231">
        <v>0</v>
      </c>
    </row>
    <row r="46" spans="1:15" x14ac:dyDescent="0.2">
      <c r="A46" s="225"/>
      <c r="B46" s="226" t="s">
        <v>89</v>
      </c>
      <c r="C46" s="230">
        <v>0</v>
      </c>
      <c r="D46" s="78">
        <v>0</v>
      </c>
      <c r="E46" s="78">
        <v>0</v>
      </c>
      <c r="F46" s="78">
        <v>0</v>
      </c>
      <c r="G46" s="78">
        <v>0</v>
      </c>
      <c r="H46" s="78">
        <v>0</v>
      </c>
      <c r="I46" s="78">
        <v>0</v>
      </c>
      <c r="J46" s="78">
        <v>0</v>
      </c>
      <c r="K46" s="78">
        <v>0</v>
      </c>
      <c r="L46" s="78">
        <v>0</v>
      </c>
      <c r="M46" s="78">
        <v>0</v>
      </c>
      <c r="N46" s="78">
        <v>0</v>
      </c>
      <c r="O46" s="231">
        <v>0</v>
      </c>
    </row>
    <row r="47" spans="1:15" x14ac:dyDescent="0.2">
      <c r="A47" s="215" t="s">
        <v>8</v>
      </c>
      <c r="B47" s="215" t="s">
        <v>70</v>
      </c>
      <c r="C47" s="222">
        <v>92462.99</v>
      </c>
      <c r="D47" s="223">
        <v>105968.82</v>
      </c>
      <c r="E47" s="223">
        <v>66490.240000000005</v>
      </c>
      <c r="F47" s="223">
        <v>73762.61</v>
      </c>
      <c r="G47" s="223">
        <v>112202.28000000001</v>
      </c>
      <c r="H47" s="223">
        <v>135058.30000000002</v>
      </c>
      <c r="I47" s="223">
        <v>156875.41</v>
      </c>
      <c r="J47" s="223">
        <v>150641.95000000001</v>
      </c>
      <c r="K47" s="223">
        <v>130902.66</v>
      </c>
      <c r="L47" s="223">
        <v>110124.46</v>
      </c>
      <c r="M47" s="223">
        <v>69606.97</v>
      </c>
      <c r="N47" s="223">
        <v>85190.62000000001</v>
      </c>
      <c r="O47" s="224">
        <v>1289287.3100000003</v>
      </c>
    </row>
    <row r="48" spans="1:15" x14ac:dyDescent="0.2">
      <c r="A48" s="225"/>
      <c r="B48" s="226" t="s">
        <v>25</v>
      </c>
      <c r="C48" s="227">
        <v>-6359.9399999999878</v>
      </c>
      <c r="D48" s="228">
        <v>-7288.9199999999837</v>
      </c>
      <c r="E48" s="228">
        <v>-4573.4399999999878</v>
      </c>
      <c r="F48" s="228">
        <v>-5073.6599999999889</v>
      </c>
      <c r="G48" s="228">
        <v>-7717.6799999999785</v>
      </c>
      <c r="H48" s="228">
        <v>-9289.7999999999593</v>
      </c>
      <c r="I48" s="228">
        <v>-10790.459999999992</v>
      </c>
      <c r="J48" s="228">
        <v>-10361.699999999983</v>
      </c>
      <c r="K48" s="228">
        <v>-9003.9599999999919</v>
      </c>
      <c r="L48" s="228">
        <v>-7574.7599999999802</v>
      </c>
      <c r="M48" s="228">
        <v>-4787.8199999999924</v>
      </c>
      <c r="N48" s="228">
        <v>-5859.7199999999866</v>
      </c>
      <c r="O48" s="229">
        <v>-88681.859999999811</v>
      </c>
    </row>
    <row r="49" spans="1:15" x14ac:dyDescent="0.2">
      <c r="A49" s="225"/>
      <c r="B49" s="226" t="s">
        <v>26</v>
      </c>
      <c r="C49" s="227">
        <v>491.91449052190609</v>
      </c>
      <c r="D49" s="228">
        <v>563.76716891274634</v>
      </c>
      <c r="E49" s="228">
        <v>353.73626284721331</v>
      </c>
      <c r="F49" s="228">
        <v>392.42616659612736</v>
      </c>
      <c r="G49" s="228">
        <v>596.9299435546726</v>
      </c>
      <c r="H49" s="228">
        <v>718.52678390840208</v>
      </c>
      <c r="I49" s="228">
        <v>834.59649515514411</v>
      </c>
      <c r="J49" s="228">
        <v>801.43372051321774</v>
      </c>
      <c r="K49" s="228">
        <v>696.41826748045139</v>
      </c>
      <c r="L49" s="228">
        <v>585.87568534069715</v>
      </c>
      <c r="M49" s="228">
        <v>370.3176501681765</v>
      </c>
      <c r="N49" s="228">
        <v>453.2245867729921</v>
      </c>
      <c r="O49" s="229">
        <v>6859.167221771746</v>
      </c>
    </row>
    <row r="50" spans="1:15" x14ac:dyDescent="0.2">
      <c r="A50" s="225"/>
      <c r="B50" s="226" t="s">
        <v>27</v>
      </c>
      <c r="C50" s="227">
        <v>-5868.0255094780814</v>
      </c>
      <c r="D50" s="228">
        <v>-6725.1528310872372</v>
      </c>
      <c r="E50" s="228">
        <v>-4219.7037371527749</v>
      </c>
      <c r="F50" s="228">
        <v>-4681.2338334038614</v>
      </c>
      <c r="G50" s="228">
        <v>-7120.7500564453057</v>
      </c>
      <c r="H50" s="228">
        <v>-8571.2732160915566</v>
      </c>
      <c r="I50" s="228">
        <v>-9955.8635048448486</v>
      </c>
      <c r="J50" s="228">
        <v>-9560.2662794867647</v>
      </c>
      <c r="K50" s="228">
        <v>-8307.5417325195413</v>
      </c>
      <c r="L50" s="228">
        <v>-6988.8843146592826</v>
      </c>
      <c r="M50" s="228">
        <v>-4417.502349831816</v>
      </c>
      <c r="N50" s="228">
        <v>-5406.4954132269941</v>
      </c>
      <c r="O50" s="229">
        <v>-81822.692778228069</v>
      </c>
    </row>
    <row r="51" spans="1:15" x14ac:dyDescent="0.2">
      <c r="A51" s="225"/>
      <c r="B51" s="226" t="s">
        <v>49</v>
      </c>
      <c r="C51" s="230">
        <v>98822.93</v>
      </c>
      <c r="D51" s="78">
        <v>113257.73999999999</v>
      </c>
      <c r="E51" s="78">
        <v>71063.679999999993</v>
      </c>
      <c r="F51" s="78">
        <v>78836.26999999999</v>
      </c>
      <c r="G51" s="78">
        <v>119919.95999999999</v>
      </c>
      <c r="H51" s="78">
        <v>144348.09999999998</v>
      </c>
      <c r="I51" s="78">
        <v>167665.87</v>
      </c>
      <c r="J51" s="78">
        <v>161003.65</v>
      </c>
      <c r="K51" s="78">
        <v>139906.62</v>
      </c>
      <c r="L51" s="78">
        <v>117699.21999999999</v>
      </c>
      <c r="M51" s="78">
        <v>74394.789999999994</v>
      </c>
      <c r="N51" s="78">
        <v>91050.34</v>
      </c>
      <c r="O51" s="231">
        <v>1377969.17</v>
      </c>
    </row>
    <row r="52" spans="1:15" x14ac:dyDescent="0.2">
      <c r="A52" s="225"/>
      <c r="B52" s="226" t="s">
        <v>87</v>
      </c>
      <c r="C52" s="230">
        <v>0</v>
      </c>
      <c r="D52" s="78">
        <v>0</v>
      </c>
      <c r="E52" s="78">
        <v>0</v>
      </c>
      <c r="F52" s="78">
        <v>0</v>
      </c>
      <c r="G52" s="78">
        <v>0</v>
      </c>
      <c r="H52" s="78">
        <v>0</v>
      </c>
      <c r="I52" s="78">
        <v>0</v>
      </c>
      <c r="J52" s="78">
        <v>0</v>
      </c>
      <c r="K52" s="78">
        <v>0</v>
      </c>
      <c r="L52" s="78">
        <v>0</v>
      </c>
      <c r="M52" s="78">
        <v>0</v>
      </c>
      <c r="N52" s="78">
        <v>0</v>
      </c>
      <c r="O52" s="231">
        <v>0</v>
      </c>
    </row>
    <row r="53" spans="1:15" x14ac:dyDescent="0.2">
      <c r="A53" s="225"/>
      <c r="B53" s="226" t="s">
        <v>89</v>
      </c>
      <c r="C53" s="230">
        <v>0</v>
      </c>
      <c r="D53" s="78">
        <v>0</v>
      </c>
      <c r="E53" s="78">
        <v>0</v>
      </c>
      <c r="F53" s="78">
        <v>0</v>
      </c>
      <c r="G53" s="78">
        <v>0</v>
      </c>
      <c r="H53" s="78">
        <v>0</v>
      </c>
      <c r="I53" s="78">
        <v>0</v>
      </c>
      <c r="J53" s="78">
        <v>0</v>
      </c>
      <c r="K53" s="78">
        <v>0</v>
      </c>
      <c r="L53" s="78">
        <v>0</v>
      </c>
      <c r="M53" s="78">
        <v>0</v>
      </c>
      <c r="N53" s="78">
        <v>0</v>
      </c>
      <c r="O53" s="231">
        <v>0</v>
      </c>
    </row>
    <row r="54" spans="1:15" x14ac:dyDescent="0.2">
      <c r="A54" s="215" t="s">
        <v>21</v>
      </c>
      <c r="B54" s="215" t="s">
        <v>70</v>
      </c>
      <c r="C54" s="222">
        <v>3055434.31</v>
      </c>
      <c r="D54" s="223">
        <v>3346329.1100000003</v>
      </c>
      <c r="E54" s="223">
        <v>2513123.29</v>
      </c>
      <c r="F54" s="223">
        <v>2822718.47</v>
      </c>
      <c r="G54" s="223">
        <v>3509437.9800000004</v>
      </c>
      <c r="H54" s="223">
        <v>3972791.8400000003</v>
      </c>
      <c r="I54" s="223">
        <v>4269920.1000000006</v>
      </c>
      <c r="J54" s="223">
        <v>4255375.3600000003</v>
      </c>
      <c r="K54" s="223">
        <v>3799293.87</v>
      </c>
      <c r="L54" s="223">
        <v>3387885.5100000002</v>
      </c>
      <c r="M54" s="223">
        <v>2544290.5900000003</v>
      </c>
      <c r="N54" s="223">
        <v>2926609.47</v>
      </c>
      <c r="O54" s="224">
        <v>40403209.900000006</v>
      </c>
    </row>
    <row r="55" spans="1:15" x14ac:dyDescent="0.2">
      <c r="A55" s="225"/>
      <c r="B55" s="226" t="s">
        <v>25</v>
      </c>
      <c r="C55" s="227">
        <v>-210163.8599999994</v>
      </c>
      <c r="D55" s="228">
        <v>-230172.65999999922</v>
      </c>
      <c r="E55" s="228">
        <v>-172861.73999999976</v>
      </c>
      <c r="F55" s="228">
        <v>-194156.81999999937</v>
      </c>
      <c r="G55" s="228">
        <v>-241391.87999999896</v>
      </c>
      <c r="H55" s="228">
        <v>-273263.03999999957</v>
      </c>
      <c r="I55" s="228">
        <v>-293700.5999999987</v>
      </c>
      <c r="J55" s="228">
        <v>-292700.15999999922</v>
      </c>
      <c r="K55" s="228">
        <v>-261329.21999999927</v>
      </c>
      <c r="L55" s="228">
        <v>-233031.05999999959</v>
      </c>
      <c r="M55" s="228">
        <v>-175005.53999999957</v>
      </c>
      <c r="N55" s="228">
        <v>-201302.81999999937</v>
      </c>
      <c r="O55" s="229">
        <v>-2779079.399999992</v>
      </c>
    </row>
    <row r="56" spans="1:15" x14ac:dyDescent="0.2">
      <c r="A56" s="225"/>
      <c r="B56" s="226" t="s">
        <v>26</v>
      </c>
      <c r="C56" s="227">
        <v>16255.286703650852</v>
      </c>
      <c r="D56" s="228">
        <v>17802.882853607411</v>
      </c>
      <c r="E56" s="228">
        <v>13370.125309803268</v>
      </c>
      <c r="F56" s="228">
        <v>15017.209783685605</v>
      </c>
      <c r="G56" s="228">
        <v>18670.642123404479</v>
      </c>
      <c r="H56" s="228">
        <v>21135.741705121</v>
      </c>
      <c r="I56" s="228">
        <v>22716.500629719481</v>
      </c>
      <c r="J56" s="228">
        <v>22639.120822221652</v>
      </c>
      <c r="K56" s="228">
        <v>20212.711144254052</v>
      </c>
      <c r="L56" s="228">
        <v>18023.968017886917</v>
      </c>
      <c r="M56" s="228">
        <v>13535.939183012899</v>
      </c>
      <c r="N56" s="228">
        <v>15569.922694384375</v>
      </c>
      <c r="O56" s="229">
        <v>214950.050970752</v>
      </c>
    </row>
    <row r="57" spans="1:15" x14ac:dyDescent="0.2">
      <c r="A57" s="225"/>
      <c r="B57" s="226" t="s">
        <v>27</v>
      </c>
      <c r="C57" s="227">
        <v>-193908.57329634856</v>
      </c>
      <c r="D57" s="228">
        <v>-212369.7771463918</v>
      </c>
      <c r="E57" s="228">
        <v>-159491.6146901965</v>
      </c>
      <c r="F57" s="228">
        <v>-179139.61021631377</v>
      </c>
      <c r="G57" s="228">
        <v>-222721.23787659447</v>
      </c>
      <c r="H57" s="228">
        <v>-252127.29829487856</v>
      </c>
      <c r="I57" s="228">
        <v>-270984.09937027923</v>
      </c>
      <c r="J57" s="228">
        <v>-270061.03917777759</v>
      </c>
      <c r="K57" s="228">
        <v>-241116.50885574523</v>
      </c>
      <c r="L57" s="228">
        <v>-215007.09198211267</v>
      </c>
      <c r="M57" s="228">
        <v>-161469.60081698667</v>
      </c>
      <c r="N57" s="228">
        <v>-185732.89730561498</v>
      </c>
      <c r="O57" s="229">
        <v>-2564129.3490292397</v>
      </c>
    </row>
    <row r="58" spans="1:15" x14ac:dyDescent="0.2">
      <c r="A58" s="225"/>
      <c r="B58" s="226" t="s">
        <v>49</v>
      </c>
      <c r="C58" s="230">
        <v>3265598.1699999995</v>
      </c>
      <c r="D58" s="78">
        <v>3576501.7699999996</v>
      </c>
      <c r="E58" s="78">
        <v>2685985.03</v>
      </c>
      <c r="F58" s="78">
        <v>3016875.2899999996</v>
      </c>
      <c r="G58" s="78">
        <v>3750829.8599999994</v>
      </c>
      <c r="H58" s="78">
        <v>4246054.88</v>
      </c>
      <c r="I58" s="78">
        <v>4563620.6999999993</v>
      </c>
      <c r="J58" s="78">
        <v>4548075.5199999996</v>
      </c>
      <c r="K58" s="78">
        <v>4060623.0899999994</v>
      </c>
      <c r="L58" s="78">
        <v>3620916.57</v>
      </c>
      <c r="M58" s="78">
        <v>2719296.13</v>
      </c>
      <c r="N58" s="78">
        <v>3127912.2899999996</v>
      </c>
      <c r="O58" s="231">
        <v>43182289.299999997</v>
      </c>
    </row>
    <row r="59" spans="1:15" x14ac:dyDescent="0.2">
      <c r="A59" s="225"/>
      <c r="B59" s="226" t="s">
        <v>87</v>
      </c>
      <c r="C59" s="230">
        <v>0</v>
      </c>
      <c r="D59" s="78">
        <v>0</v>
      </c>
      <c r="E59" s="78">
        <v>0</v>
      </c>
      <c r="F59" s="78">
        <v>0</v>
      </c>
      <c r="G59" s="78">
        <v>0</v>
      </c>
      <c r="H59" s="78">
        <v>0</v>
      </c>
      <c r="I59" s="78">
        <v>0</v>
      </c>
      <c r="J59" s="78">
        <v>0</v>
      </c>
      <c r="K59" s="78">
        <v>0</v>
      </c>
      <c r="L59" s="78">
        <v>0</v>
      </c>
      <c r="M59" s="78">
        <v>0</v>
      </c>
      <c r="N59" s="78">
        <v>0</v>
      </c>
      <c r="O59" s="231">
        <v>0</v>
      </c>
    </row>
    <row r="60" spans="1:15" x14ac:dyDescent="0.2">
      <c r="A60" s="225"/>
      <c r="B60" s="226" t="s">
        <v>89</v>
      </c>
      <c r="C60" s="230">
        <v>0</v>
      </c>
      <c r="D60" s="78">
        <v>0</v>
      </c>
      <c r="E60" s="78">
        <v>0</v>
      </c>
      <c r="F60" s="78">
        <v>0</v>
      </c>
      <c r="G60" s="78">
        <v>0</v>
      </c>
      <c r="H60" s="78">
        <v>0</v>
      </c>
      <c r="I60" s="78">
        <v>0</v>
      </c>
      <c r="J60" s="78">
        <v>0</v>
      </c>
      <c r="K60" s="78">
        <v>0</v>
      </c>
      <c r="L60" s="78">
        <v>0</v>
      </c>
      <c r="M60" s="78">
        <v>0</v>
      </c>
      <c r="N60" s="78">
        <v>0</v>
      </c>
      <c r="O60" s="231">
        <v>0</v>
      </c>
    </row>
    <row r="61" spans="1:15" x14ac:dyDescent="0.2">
      <c r="A61" s="215" t="s">
        <v>22</v>
      </c>
      <c r="B61" s="215" t="s">
        <v>70</v>
      </c>
      <c r="C61" s="222">
        <v>3546838.74</v>
      </c>
      <c r="D61" s="223">
        <v>3459570.3000000003</v>
      </c>
      <c r="E61" s="223">
        <v>2579613.5300000003</v>
      </c>
      <c r="F61" s="223">
        <v>2648181.5900000003</v>
      </c>
      <c r="G61" s="223">
        <v>3124002.37</v>
      </c>
      <c r="H61" s="223">
        <v>3508399.0700000003</v>
      </c>
      <c r="I61" s="223">
        <v>3867861.93</v>
      </c>
      <c r="J61" s="223">
        <v>3859550.6500000004</v>
      </c>
      <c r="K61" s="223">
        <v>3382690.9600000004</v>
      </c>
      <c r="L61" s="223">
        <v>3131274.74</v>
      </c>
      <c r="M61" s="223">
        <v>2428971.58</v>
      </c>
      <c r="N61" s="223">
        <v>3084523.79</v>
      </c>
      <c r="O61" s="224">
        <v>38621479.25</v>
      </c>
    </row>
    <row r="62" spans="1:15" x14ac:dyDescent="0.2">
      <c r="A62" s="225"/>
      <c r="B62" s="226" t="s">
        <v>25</v>
      </c>
      <c r="C62" s="227">
        <v>-243964.43999999948</v>
      </c>
      <c r="D62" s="228">
        <v>-237961.79999999935</v>
      </c>
      <c r="E62" s="228">
        <v>-177435.17999999924</v>
      </c>
      <c r="F62" s="228">
        <v>-182151.53999999957</v>
      </c>
      <c r="G62" s="228">
        <v>-214880.21999999974</v>
      </c>
      <c r="H62" s="228">
        <v>-241320.41999999946</v>
      </c>
      <c r="I62" s="228">
        <v>-266045.57999999961</v>
      </c>
      <c r="J62" s="228">
        <v>-265473.89999999944</v>
      </c>
      <c r="K62" s="228">
        <v>-232673.75999999931</v>
      </c>
      <c r="L62" s="228">
        <v>-215380.43999999948</v>
      </c>
      <c r="M62" s="228">
        <v>-167073.47999999952</v>
      </c>
      <c r="N62" s="228">
        <v>-212164.73999999976</v>
      </c>
      <c r="O62" s="229">
        <v>-2656525.4999999939</v>
      </c>
    </row>
    <row r="63" spans="1:15" x14ac:dyDescent="0.2">
      <c r="A63" s="225"/>
      <c r="B63" s="226" t="s">
        <v>26</v>
      </c>
      <c r="C63" s="227">
        <v>18869.618771256039</v>
      </c>
      <c r="D63" s="228">
        <v>18405.339926269069</v>
      </c>
      <c r="E63" s="228">
        <v>13723.861572650481</v>
      </c>
      <c r="F63" s="228">
        <v>14088.652093711669</v>
      </c>
      <c r="G63" s="228">
        <v>16620.07722471204</v>
      </c>
      <c r="H63" s="228">
        <v>18665.114994297492</v>
      </c>
      <c r="I63" s="228">
        <v>20577.501665315242</v>
      </c>
      <c r="J63" s="228">
        <v>20533.284632459337</v>
      </c>
      <c r="K63" s="228">
        <v>17996.332372351979</v>
      </c>
      <c r="L63" s="228">
        <v>16658.767128460953</v>
      </c>
      <c r="M63" s="228">
        <v>12922.427852137263</v>
      </c>
      <c r="N63" s="228">
        <v>16410.046318646509</v>
      </c>
      <c r="O63" s="229">
        <v>205471.02455226809</v>
      </c>
    </row>
    <row r="64" spans="1:15" x14ac:dyDescent="0.2">
      <c r="A64" s="225"/>
      <c r="B64" s="226" t="s">
        <v>27</v>
      </c>
      <c r="C64" s="227">
        <v>-225094.82122874344</v>
      </c>
      <c r="D64" s="228">
        <v>-219556.46007373027</v>
      </c>
      <c r="E64" s="228">
        <v>-163711.31842734874</v>
      </c>
      <c r="F64" s="228">
        <v>-168062.88790628791</v>
      </c>
      <c r="G64" s="228">
        <v>-198260.14277528771</v>
      </c>
      <c r="H64" s="228">
        <v>-222655.30500570196</v>
      </c>
      <c r="I64" s="228">
        <v>-245468.07833468437</v>
      </c>
      <c r="J64" s="228">
        <v>-244940.6153675401</v>
      </c>
      <c r="K64" s="228">
        <v>-214677.42762764732</v>
      </c>
      <c r="L64" s="228">
        <v>-198721.67287153853</v>
      </c>
      <c r="M64" s="228">
        <v>-154151.05214786224</v>
      </c>
      <c r="N64" s="228">
        <v>-195754.69368135324</v>
      </c>
      <c r="O64" s="229">
        <v>-2451054.4754477255</v>
      </c>
    </row>
    <row r="65" spans="1:15" x14ac:dyDescent="0.2">
      <c r="A65" s="225"/>
      <c r="B65" s="226" t="s">
        <v>49</v>
      </c>
      <c r="C65" s="230">
        <v>3790803.1799999997</v>
      </c>
      <c r="D65" s="78">
        <v>3697532.0999999996</v>
      </c>
      <c r="E65" s="78">
        <v>2757048.7099999995</v>
      </c>
      <c r="F65" s="78">
        <v>2830333.13</v>
      </c>
      <c r="G65" s="78">
        <v>3338882.59</v>
      </c>
      <c r="H65" s="78">
        <v>3749719.4899999998</v>
      </c>
      <c r="I65" s="78">
        <v>4133907.51</v>
      </c>
      <c r="J65" s="78">
        <v>4125024.55</v>
      </c>
      <c r="K65" s="78">
        <v>3615364.7199999997</v>
      </c>
      <c r="L65" s="78">
        <v>3346655.1799999997</v>
      </c>
      <c r="M65" s="78">
        <v>2596045.0599999996</v>
      </c>
      <c r="N65" s="78">
        <v>3296688.53</v>
      </c>
      <c r="O65" s="231">
        <v>41278004.75</v>
      </c>
    </row>
    <row r="66" spans="1:15" x14ac:dyDescent="0.2">
      <c r="A66" s="225"/>
      <c r="B66" s="226" t="s">
        <v>87</v>
      </c>
      <c r="C66" s="230">
        <v>0</v>
      </c>
      <c r="D66" s="78">
        <v>0</v>
      </c>
      <c r="E66" s="78">
        <v>0</v>
      </c>
      <c r="F66" s="78">
        <v>0</v>
      </c>
      <c r="G66" s="78">
        <v>0</v>
      </c>
      <c r="H66" s="78">
        <v>0</v>
      </c>
      <c r="I66" s="78">
        <v>0</v>
      </c>
      <c r="J66" s="78">
        <v>0</v>
      </c>
      <c r="K66" s="78">
        <v>0</v>
      </c>
      <c r="L66" s="78">
        <v>0</v>
      </c>
      <c r="M66" s="78">
        <v>0</v>
      </c>
      <c r="N66" s="78">
        <v>0</v>
      </c>
      <c r="O66" s="231">
        <v>0</v>
      </c>
    </row>
    <row r="67" spans="1:15" x14ac:dyDescent="0.2">
      <c r="A67" s="225"/>
      <c r="B67" s="226" t="s">
        <v>89</v>
      </c>
      <c r="C67" s="230">
        <v>0</v>
      </c>
      <c r="D67" s="78">
        <v>0</v>
      </c>
      <c r="E67" s="78">
        <v>0</v>
      </c>
      <c r="F67" s="78">
        <v>0</v>
      </c>
      <c r="G67" s="78">
        <v>0</v>
      </c>
      <c r="H67" s="78">
        <v>0</v>
      </c>
      <c r="I67" s="78">
        <v>0</v>
      </c>
      <c r="J67" s="78">
        <v>0</v>
      </c>
      <c r="K67" s="78">
        <v>0</v>
      </c>
      <c r="L67" s="78">
        <v>0</v>
      </c>
      <c r="M67" s="78">
        <v>0</v>
      </c>
      <c r="N67" s="78">
        <v>0</v>
      </c>
      <c r="O67" s="231">
        <v>0</v>
      </c>
    </row>
    <row r="68" spans="1:15" x14ac:dyDescent="0.2">
      <c r="A68" s="215" t="s">
        <v>9</v>
      </c>
      <c r="B68" s="215" t="s">
        <v>70</v>
      </c>
      <c r="C68" s="222">
        <v>69606.97</v>
      </c>
      <c r="D68" s="223">
        <v>73762.61</v>
      </c>
      <c r="E68" s="223">
        <v>50906.590000000004</v>
      </c>
      <c r="F68" s="223">
        <v>38439.670000000006</v>
      </c>
      <c r="G68" s="223">
        <v>51945.500000000007</v>
      </c>
      <c r="H68" s="223">
        <v>56101.140000000007</v>
      </c>
      <c r="I68" s="223">
        <v>64412.420000000006</v>
      </c>
      <c r="J68" s="223">
        <v>57140.05</v>
      </c>
      <c r="K68" s="223">
        <v>51945.500000000007</v>
      </c>
      <c r="L68" s="223">
        <v>48828.770000000004</v>
      </c>
      <c r="M68" s="223">
        <v>49867.680000000008</v>
      </c>
      <c r="N68" s="223">
        <v>60256.780000000006</v>
      </c>
      <c r="O68" s="224">
        <v>673213.68</v>
      </c>
    </row>
    <row r="69" spans="1:15" x14ac:dyDescent="0.2">
      <c r="A69" s="225"/>
      <c r="B69" s="226" t="s">
        <v>25</v>
      </c>
      <c r="C69" s="227">
        <v>-4787.8199999999924</v>
      </c>
      <c r="D69" s="228">
        <v>-5073.6599999999889</v>
      </c>
      <c r="E69" s="228">
        <v>-3501.5399999999936</v>
      </c>
      <c r="F69" s="228">
        <v>-2644.0199999999895</v>
      </c>
      <c r="G69" s="228">
        <v>-3572.9999999999854</v>
      </c>
      <c r="H69" s="228">
        <v>-3858.8399999999892</v>
      </c>
      <c r="I69" s="228">
        <v>-4430.5199999999822</v>
      </c>
      <c r="J69" s="228">
        <v>-3930.2999999999884</v>
      </c>
      <c r="K69" s="228">
        <v>-3572.9999999999854</v>
      </c>
      <c r="L69" s="228">
        <v>-3358.6199999999881</v>
      </c>
      <c r="M69" s="228">
        <v>-3430.0799999999872</v>
      </c>
      <c r="N69" s="228">
        <v>-4144.6799999999857</v>
      </c>
      <c r="O69" s="229">
        <v>-46306.079999999856</v>
      </c>
    </row>
    <row r="70" spans="1:15" x14ac:dyDescent="0.2">
      <c r="A70" s="225"/>
      <c r="B70" s="226" t="s">
        <v>26</v>
      </c>
      <c r="C70" s="227">
        <v>370.3176501681765</v>
      </c>
      <c r="D70" s="228">
        <v>392.42616659612736</v>
      </c>
      <c r="E70" s="228">
        <v>270.82932624239771</v>
      </c>
      <c r="F70" s="228">
        <v>204.50377695854522</v>
      </c>
      <c r="G70" s="228">
        <v>276.35645534938544</v>
      </c>
      <c r="H70" s="228">
        <v>298.4649717773363</v>
      </c>
      <c r="I70" s="228">
        <v>342.68200463323797</v>
      </c>
      <c r="J70" s="228">
        <v>303.99210088432403</v>
      </c>
      <c r="K70" s="228">
        <v>276.35645534938544</v>
      </c>
      <c r="L70" s="228">
        <v>259.77506802842231</v>
      </c>
      <c r="M70" s="228">
        <v>265.30219713541004</v>
      </c>
      <c r="N70" s="228">
        <v>320.57348820528711</v>
      </c>
      <c r="O70" s="229">
        <v>3581.5796613280349</v>
      </c>
    </row>
    <row r="71" spans="1:15" x14ac:dyDescent="0.2">
      <c r="A71" s="225"/>
      <c r="B71" s="226" t="s">
        <v>27</v>
      </c>
      <c r="C71" s="227">
        <v>-4417.502349831816</v>
      </c>
      <c r="D71" s="228">
        <v>-4681.2338334038614</v>
      </c>
      <c r="E71" s="228">
        <v>-3230.7106737575959</v>
      </c>
      <c r="F71" s="228">
        <v>-2439.5162230414444</v>
      </c>
      <c r="G71" s="228">
        <v>-3296.6435446506002</v>
      </c>
      <c r="H71" s="228">
        <v>-3560.3750282226529</v>
      </c>
      <c r="I71" s="228">
        <v>-4087.8379953667445</v>
      </c>
      <c r="J71" s="228">
        <v>-3626.3078991156644</v>
      </c>
      <c r="K71" s="228">
        <v>-3296.6435446506002</v>
      </c>
      <c r="L71" s="228">
        <v>-3098.8449319715655</v>
      </c>
      <c r="M71" s="228">
        <v>-3164.7778028645771</v>
      </c>
      <c r="N71" s="228">
        <v>-3824.1065117946987</v>
      </c>
      <c r="O71" s="229">
        <v>-42724.500338671824</v>
      </c>
    </row>
    <row r="72" spans="1:15" x14ac:dyDescent="0.2">
      <c r="A72" s="225"/>
      <c r="B72" s="226" t="s">
        <v>49</v>
      </c>
      <c r="C72" s="230">
        <v>74394.789999999994</v>
      </c>
      <c r="D72" s="78">
        <v>78836.26999999999</v>
      </c>
      <c r="E72" s="78">
        <v>54408.13</v>
      </c>
      <c r="F72" s="78">
        <v>41083.689999999995</v>
      </c>
      <c r="G72" s="78">
        <v>55518.499999999993</v>
      </c>
      <c r="H72" s="78">
        <v>59959.979999999996</v>
      </c>
      <c r="I72" s="78">
        <v>68842.939999999988</v>
      </c>
      <c r="J72" s="78">
        <v>61070.349999999991</v>
      </c>
      <c r="K72" s="78">
        <v>55518.499999999993</v>
      </c>
      <c r="L72" s="78">
        <v>52187.389999999992</v>
      </c>
      <c r="M72" s="78">
        <v>53297.759999999995</v>
      </c>
      <c r="N72" s="78">
        <v>64401.459999999992</v>
      </c>
      <c r="O72" s="231">
        <v>719519.75999999989</v>
      </c>
    </row>
    <row r="73" spans="1:15" x14ac:dyDescent="0.2">
      <c r="A73" s="225"/>
      <c r="B73" s="226" t="s">
        <v>87</v>
      </c>
      <c r="C73" s="230">
        <v>0</v>
      </c>
      <c r="D73" s="78">
        <v>0</v>
      </c>
      <c r="E73" s="78">
        <v>0</v>
      </c>
      <c r="F73" s="78">
        <v>0</v>
      </c>
      <c r="G73" s="78">
        <v>0</v>
      </c>
      <c r="H73" s="78">
        <v>0</v>
      </c>
      <c r="I73" s="78">
        <v>0</v>
      </c>
      <c r="J73" s="78">
        <v>0</v>
      </c>
      <c r="K73" s="78">
        <v>0</v>
      </c>
      <c r="L73" s="78">
        <v>0</v>
      </c>
      <c r="M73" s="78">
        <v>0</v>
      </c>
      <c r="N73" s="78">
        <v>0</v>
      </c>
      <c r="O73" s="231">
        <v>0</v>
      </c>
    </row>
    <row r="74" spans="1:15" x14ac:dyDescent="0.2">
      <c r="A74" s="225"/>
      <c r="B74" s="226" t="s">
        <v>89</v>
      </c>
      <c r="C74" s="230">
        <v>0</v>
      </c>
      <c r="D74" s="78">
        <v>0</v>
      </c>
      <c r="E74" s="78">
        <v>0</v>
      </c>
      <c r="F74" s="78">
        <v>0</v>
      </c>
      <c r="G74" s="78">
        <v>0</v>
      </c>
      <c r="H74" s="78">
        <v>0</v>
      </c>
      <c r="I74" s="78">
        <v>0</v>
      </c>
      <c r="J74" s="78">
        <v>0</v>
      </c>
      <c r="K74" s="78">
        <v>0</v>
      </c>
      <c r="L74" s="78">
        <v>0</v>
      </c>
      <c r="M74" s="78">
        <v>0</v>
      </c>
      <c r="N74" s="78">
        <v>0</v>
      </c>
      <c r="O74" s="231">
        <v>0</v>
      </c>
    </row>
    <row r="75" spans="1:15" x14ac:dyDescent="0.2">
      <c r="A75" s="215" t="s">
        <v>54</v>
      </c>
      <c r="B75" s="215" t="s">
        <v>70</v>
      </c>
      <c r="C75" s="222">
        <v>142330.67000000001</v>
      </c>
      <c r="D75" s="223">
        <v>162069.96000000002</v>
      </c>
      <c r="E75" s="223">
        <v>117396.83000000002</v>
      </c>
      <c r="F75" s="223">
        <v>116357.92000000001</v>
      </c>
      <c r="G75" s="223">
        <v>147525.22</v>
      </c>
      <c r="H75" s="223">
        <v>171420.15000000002</v>
      </c>
      <c r="I75" s="223">
        <v>192198.35</v>
      </c>
      <c r="J75" s="223">
        <v>198431.81000000003</v>
      </c>
      <c r="K75" s="223">
        <v>145447.40000000002</v>
      </c>
      <c r="L75" s="223">
        <v>142330.67000000001</v>
      </c>
      <c r="M75" s="223">
        <v>124669.20000000001</v>
      </c>
      <c r="N75" s="223">
        <v>132980.48000000001</v>
      </c>
      <c r="O75" s="224">
        <v>1793158.66</v>
      </c>
    </row>
    <row r="76" spans="1:15" x14ac:dyDescent="0.2">
      <c r="A76" s="225"/>
      <c r="B76" s="226" t="s">
        <v>25</v>
      </c>
      <c r="C76" s="230">
        <v>-9790.0199999999604</v>
      </c>
      <c r="D76" s="78">
        <v>-11147.759999999951</v>
      </c>
      <c r="E76" s="78">
        <v>-8074.9799999999668</v>
      </c>
      <c r="F76" s="78">
        <v>-8003.519999999975</v>
      </c>
      <c r="G76" s="78">
        <v>-10147.319999999978</v>
      </c>
      <c r="H76" s="78">
        <v>-11790.899999999965</v>
      </c>
      <c r="I76" s="78">
        <v>-13220.099999999977</v>
      </c>
      <c r="J76" s="78">
        <v>-13648.859999999957</v>
      </c>
      <c r="K76" s="78">
        <v>-10004.399999999965</v>
      </c>
      <c r="L76" s="78">
        <v>-9790.0199999999604</v>
      </c>
      <c r="M76" s="78">
        <v>-8575.1999999999825</v>
      </c>
      <c r="N76" s="78">
        <v>-9146.8799999999756</v>
      </c>
      <c r="O76" s="231">
        <v>-123339.95999999961</v>
      </c>
    </row>
    <row r="77" spans="1:15" x14ac:dyDescent="0.2">
      <c r="A77" s="225"/>
      <c r="B77" s="226" t="s">
        <v>26</v>
      </c>
      <c r="C77" s="230">
        <v>757.21668765731602</v>
      </c>
      <c r="D77" s="78">
        <v>862.23214069008259</v>
      </c>
      <c r="E77" s="78">
        <v>624.56558908961108</v>
      </c>
      <c r="F77" s="78">
        <v>619.03845998262329</v>
      </c>
      <c r="G77" s="78">
        <v>784.85233319225472</v>
      </c>
      <c r="H77" s="78">
        <v>911.97630265297198</v>
      </c>
      <c r="I77" s="78">
        <v>1022.5188847927261</v>
      </c>
      <c r="J77" s="78">
        <v>1055.6816594346524</v>
      </c>
      <c r="K77" s="78">
        <v>773.79807497827926</v>
      </c>
      <c r="L77" s="78">
        <v>757.21668765731602</v>
      </c>
      <c r="M77" s="78">
        <v>663.25549283852502</v>
      </c>
      <c r="N77" s="78">
        <v>707.47252569442662</v>
      </c>
      <c r="O77" s="231">
        <v>9539.8248386607847</v>
      </c>
    </row>
    <row r="78" spans="1:15" x14ac:dyDescent="0.2">
      <c r="A78" s="225"/>
      <c r="B78" s="226" t="s">
        <v>27</v>
      </c>
      <c r="C78" s="230">
        <v>-9032.8033123426449</v>
      </c>
      <c r="D78" s="78">
        <v>-10285.527859309868</v>
      </c>
      <c r="E78" s="78">
        <v>-7450.4144109103554</v>
      </c>
      <c r="F78" s="78">
        <v>-7384.481540017352</v>
      </c>
      <c r="G78" s="78">
        <v>-9362.4676668077227</v>
      </c>
      <c r="H78" s="78">
        <v>-10878.923697346992</v>
      </c>
      <c r="I78" s="78">
        <v>-12197.581115207251</v>
      </c>
      <c r="J78" s="78">
        <v>-12593.178340565304</v>
      </c>
      <c r="K78" s="78">
        <v>-9230.601925021685</v>
      </c>
      <c r="L78" s="78">
        <v>-9032.8033123426449</v>
      </c>
      <c r="M78" s="78">
        <v>-7911.9445071614573</v>
      </c>
      <c r="N78" s="78">
        <v>-8439.4074743055498</v>
      </c>
      <c r="O78" s="231">
        <v>-113800.13516133884</v>
      </c>
    </row>
    <row r="79" spans="1:15" x14ac:dyDescent="0.2">
      <c r="A79" s="225"/>
      <c r="B79" s="226" t="s">
        <v>49</v>
      </c>
      <c r="C79" s="230">
        <v>152120.68999999997</v>
      </c>
      <c r="D79" s="78">
        <v>173217.71999999997</v>
      </c>
      <c r="E79" s="78">
        <v>125471.80999999998</v>
      </c>
      <c r="F79" s="78">
        <v>124361.43999999999</v>
      </c>
      <c r="G79" s="78">
        <v>157672.53999999998</v>
      </c>
      <c r="H79" s="78">
        <v>183211.05</v>
      </c>
      <c r="I79" s="78">
        <v>205418.44999999998</v>
      </c>
      <c r="J79" s="78">
        <v>212080.66999999998</v>
      </c>
      <c r="K79" s="78">
        <v>155451.79999999999</v>
      </c>
      <c r="L79" s="78">
        <v>152120.68999999997</v>
      </c>
      <c r="M79" s="78">
        <v>133244.4</v>
      </c>
      <c r="N79" s="78">
        <v>142127.35999999999</v>
      </c>
      <c r="O79" s="231">
        <v>1916498.6199999996</v>
      </c>
    </row>
    <row r="80" spans="1:15" x14ac:dyDescent="0.2">
      <c r="A80" s="225"/>
      <c r="B80" s="226" t="s">
        <v>87</v>
      </c>
      <c r="C80" s="230">
        <v>0</v>
      </c>
      <c r="D80" s="78">
        <v>0</v>
      </c>
      <c r="E80" s="78">
        <v>0</v>
      </c>
      <c r="F80" s="78">
        <v>0</v>
      </c>
      <c r="G80" s="78">
        <v>0</v>
      </c>
      <c r="H80" s="78">
        <v>0</v>
      </c>
      <c r="I80" s="78">
        <v>0</v>
      </c>
      <c r="J80" s="78">
        <v>0</v>
      </c>
      <c r="K80" s="78">
        <v>0</v>
      </c>
      <c r="L80" s="78">
        <v>0</v>
      </c>
      <c r="M80" s="78">
        <v>0</v>
      </c>
      <c r="N80" s="78">
        <v>0</v>
      </c>
      <c r="O80" s="231">
        <v>0</v>
      </c>
    </row>
    <row r="81" spans="1:15" x14ac:dyDescent="0.2">
      <c r="A81" s="225"/>
      <c r="B81" s="226" t="s">
        <v>89</v>
      </c>
      <c r="C81" s="230">
        <v>0</v>
      </c>
      <c r="D81" s="78">
        <v>0</v>
      </c>
      <c r="E81" s="78">
        <v>0</v>
      </c>
      <c r="F81" s="78">
        <v>0</v>
      </c>
      <c r="G81" s="78">
        <v>0</v>
      </c>
      <c r="H81" s="78">
        <v>0</v>
      </c>
      <c r="I81" s="78">
        <v>0</v>
      </c>
      <c r="J81" s="78">
        <v>0</v>
      </c>
      <c r="K81" s="78">
        <v>0</v>
      </c>
      <c r="L81" s="78">
        <v>0</v>
      </c>
      <c r="M81" s="78">
        <v>0</v>
      </c>
      <c r="N81" s="78">
        <v>0</v>
      </c>
      <c r="O81" s="231">
        <v>0</v>
      </c>
    </row>
    <row r="82" spans="1:15" x14ac:dyDescent="0.2">
      <c r="A82" s="215" t="s">
        <v>55</v>
      </c>
      <c r="B82" s="215" t="s">
        <v>70</v>
      </c>
      <c r="C82" s="222">
        <v>11428.01</v>
      </c>
      <c r="D82" s="223">
        <v>9350.19</v>
      </c>
      <c r="E82" s="223">
        <v>8311.2800000000007</v>
      </c>
      <c r="F82" s="223">
        <v>10389.1</v>
      </c>
      <c r="G82" s="223">
        <v>11428.01</v>
      </c>
      <c r="H82" s="223">
        <v>11428.01</v>
      </c>
      <c r="I82" s="223">
        <v>14544.740000000002</v>
      </c>
      <c r="J82" s="223">
        <v>11428.01</v>
      </c>
      <c r="K82" s="223">
        <v>12466.920000000002</v>
      </c>
      <c r="L82" s="223">
        <v>13505.830000000002</v>
      </c>
      <c r="M82" s="223">
        <v>10389.1</v>
      </c>
      <c r="N82" s="223">
        <v>7272.3700000000008</v>
      </c>
      <c r="O82" s="224">
        <v>131941.57</v>
      </c>
    </row>
    <row r="83" spans="1:15" x14ac:dyDescent="0.2">
      <c r="A83" s="225"/>
      <c r="B83" s="226" t="s">
        <v>25</v>
      </c>
      <c r="C83" s="230">
        <v>-786.05999999999949</v>
      </c>
      <c r="D83" s="78">
        <v>-643.1399999999976</v>
      </c>
      <c r="E83" s="78">
        <v>-571.67999999999847</v>
      </c>
      <c r="F83" s="78">
        <v>-714.59999999999854</v>
      </c>
      <c r="G83" s="78">
        <v>-786.05999999999949</v>
      </c>
      <c r="H83" s="78">
        <v>-786.05999999999949</v>
      </c>
      <c r="I83" s="78">
        <v>-1000.4399999999969</v>
      </c>
      <c r="J83" s="78">
        <v>-786.05999999999949</v>
      </c>
      <c r="K83" s="78">
        <v>-857.5199999999968</v>
      </c>
      <c r="L83" s="78">
        <v>-928.97999999999593</v>
      </c>
      <c r="M83" s="78">
        <v>-714.59999999999854</v>
      </c>
      <c r="N83" s="78">
        <v>-500.21999999999844</v>
      </c>
      <c r="O83" s="231">
        <v>-9075.4199999999801</v>
      </c>
    </row>
    <row r="84" spans="1:15" x14ac:dyDescent="0.2">
      <c r="A84" s="225"/>
      <c r="B84" s="226" t="s">
        <v>26</v>
      </c>
      <c r="C84" s="230">
        <v>60.798420176864802</v>
      </c>
      <c r="D84" s="78">
        <v>49.744161962889379</v>
      </c>
      <c r="E84" s="78">
        <v>44.217032855901664</v>
      </c>
      <c r="F84" s="78">
        <v>55.271291069877087</v>
      </c>
      <c r="G84" s="78">
        <v>60.798420176864802</v>
      </c>
      <c r="H84" s="78">
        <v>60.798420176864802</v>
      </c>
      <c r="I84" s="78">
        <v>77.379807497827912</v>
      </c>
      <c r="J84" s="78">
        <v>60.798420176864802</v>
      </c>
      <c r="K84" s="78">
        <v>66.32554928385251</v>
      </c>
      <c r="L84" s="78">
        <v>71.852678390840211</v>
      </c>
      <c r="M84" s="78">
        <v>55.271291069877087</v>
      </c>
      <c r="N84" s="78">
        <v>38.689903748913956</v>
      </c>
      <c r="O84" s="231">
        <v>701.94539658743895</v>
      </c>
    </row>
    <row r="85" spans="1:15" x14ac:dyDescent="0.2">
      <c r="A85" s="225"/>
      <c r="B85" s="226" t="s">
        <v>27</v>
      </c>
      <c r="C85" s="230">
        <v>-725.26157982313464</v>
      </c>
      <c r="D85" s="78">
        <v>-593.39583803710821</v>
      </c>
      <c r="E85" s="78">
        <v>-527.46296714409687</v>
      </c>
      <c r="F85" s="78">
        <v>-659.32870893012148</v>
      </c>
      <c r="G85" s="78">
        <v>-725.26157982313464</v>
      </c>
      <c r="H85" s="78">
        <v>-725.26157982313464</v>
      </c>
      <c r="I85" s="78">
        <v>-923.060192502169</v>
      </c>
      <c r="J85" s="78">
        <v>-725.26157982313464</v>
      </c>
      <c r="K85" s="78">
        <v>-791.19445071614427</v>
      </c>
      <c r="L85" s="78">
        <v>-857.12732160915573</v>
      </c>
      <c r="M85" s="78">
        <v>-659.32870893012148</v>
      </c>
      <c r="N85" s="78">
        <v>-461.5300962510845</v>
      </c>
      <c r="O85" s="231">
        <v>-8373.4746034125383</v>
      </c>
    </row>
    <row r="86" spans="1:15" x14ac:dyDescent="0.2">
      <c r="A86" s="225"/>
      <c r="B86" s="226" t="s">
        <v>49</v>
      </c>
      <c r="C86" s="230">
        <v>12214.07</v>
      </c>
      <c r="D86" s="78">
        <v>9993.3299999999981</v>
      </c>
      <c r="E86" s="78">
        <v>8882.9599999999991</v>
      </c>
      <c r="F86" s="78">
        <v>11103.699999999999</v>
      </c>
      <c r="G86" s="78">
        <v>12214.07</v>
      </c>
      <c r="H86" s="78">
        <v>12214.07</v>
      </c>
      <c r="I86" s="78">
        <v>15545.179999999998</v>
      </c>
      <c r="J86" s="78">
        <v>12214.07</v>
      </c>
      <c r="K86" s="78">
        <v>13324.439999999999</v>
      </c>
      <c r="L86" s="78">
        <v>14434.809999999998</v>
      </c>
      <c r="M86" s="78">
        <v>11103.699999999999</v>
      </c>
      <c r="N86" s="78">
        <v>7772.5899999999992</v>
      </c>
      <c r="O86" s="231">
        <v>141016.99</v>
      </c>
    </row>
    <row r="87" spans="1:15" x14ac:dyDescent="0.2">
      <c r="A87" s="225"/>
      <c r="B87" s="226" t="s">
        <v>87</v>
      </c>
      <c r="C87" s="230">
        <v>0</v>
      </c>
      <c r="D87" s="78">
        <v>0</v>
      </c>
      <c r="E87" s="78">
        <v>0</v>
      </c>
      <c r="F87" s="78">
        <v>0</v>
      </c>
      <c r="G87" s="78">
        <v>0</v>
      </c>
      <c r="H87" s="78">
        <v>0</v>
      </c>
      <c r="I87" s="78">
        <v>0</v>
      </c>
      <c r="J87" s="78">
        <v>0</v>
      </c>
      <c r="K87" s="78">
        <v>0</v>
      </c>
      <c r="L87" s="78">
        <v>0</v>
      </c>
      <c r="M87" s="78">
        <v>0</v>
      </c>
      <c r="N87" s="78">
        <v>0</v>
      </c>
      <c r="O87" s="231">
        <v>0</v>
      </c>
    </row>
    <row r="88" spans="1:15" x14ac:dyDescent="0.2">
      <c r="A88" s="225"/>
      <c r="B88" s="226" t="s">
        <v>89</v>
      </c>
      <c r="C88" s="230">
        <v>0</v>
      </c>
      <c r="D88" s="78">
        <v>0</v>
      </c>
      <c r="E88" s="78">
        <v>0</v>
      </c>
      <c r="F88" s="78">
        <v>0</v>
      </c>
      <c r="G88" s="78">
        <v>0</v>
      </c>
      <c r="H88" s="78">
        <v>0</v>
      </c>
      <c r="I88" s="78">
        <v>0</v>
      </c>
      <c r="J88" s="78">
        <v>0</v>
      </c>
      <c r="K88" s="78">
        <v>0</v>
      </c>
      <c r="L88" s="78">
        <v>0</v>
      </c>
      <c r="M88" s="78">
        <v>0</v>
      </c>
      <c r="N88" s="78">
        <v>0</v>
      </c>
      <c r="O88" s="231">
        <v>0</v>
      </c>
    </row>
    <row r="89" spans="1:15" x14ac:dyDescent="0.2">
      <c r="A89" s="215" t="s">
        <v>56</v>
      </c>
      <c r="B89" s="215" t="s">
        <v>70</v>
      </c>
      <c r="C89" s="222">
        <v>0</v>
      </c>
      <c r="D89" s="223">
        <v>0</v>
      </c>
      <c r="E89" s="223">
        <v>0</v>
      </c>
      <c r="F89" s="223">
        <v>0</v>
      </c>
      <c r="G89" s="223">
        <v>0</v>
      </c>
      <c r="H89" s="223">
        <v>0</v>
      </c>
      <c r="I89" s="223">
        <v>0</v>
      </c>
      <c r="J89" s="223">
        <v>0</v>
      </c>
      <c r="K89" s="223">
        <v>0</v>
      </c>
      <c r="L89" s="223">
        <v>0</v>
      </c>
      <c r="M89" s="223">
        <v>0</v>
      </c>
      <c r="N89" s="223">
        <v>0</v>
      </c>
      <c r="O89" s="224">
        <v>0</v>
      </c>
    </row>
    <row r="90" spans="1:15" x14ac:dyDescent="0.2">
      <c r="A90" s="225"/>
      <c r="B90" s="226" t="s">
        <v>25</v>
      </c>
      <c r="C90" s="230">
        <v>0</v>
      </c>
      <c r="D90" s="78">
        <v>0</v>
      </c>
      <c r="E90" s="78">
        <v>0</v>
      </c>
      <c r="F90" s="78">
        <v>0</v>
      </c>
      <c r="G90" s="78">
        <v>0</v>
      </c>
      <c r="H90" s="78">
        <v>0</v>
      </c>
      <c r="I90" s="78">
        <v>0</v>
      </c>
      <c r="J90" s="78">
        <v>0</v>
      </c>
      <c r="K90" s="78">
        <v>0</v>
      </c>
      <c r="L90" s="78">
        <v>0</v>
      </c>
      <c r="M90" s="78">
        <v>0</v>
      </c>
      <c r="N90" s="78">
        <v>0</v>
      </c>
      <c r="O90" s="231">
        <v>0</v>
      </c>
    </row>
    <row r="91" spans="1:15" x14ac:dyDescent="0.2">
      <c r="A91" s="225"/>
      <c r="B91" s="226" t="s">
        <v>26</v>
      </c>
      <c r="C91" s="230">
        <v>0</v>
      </c>
      <c r="D91" s="78">
        <v>0</v>
      </c>
      <c r="E91" s="78">
        <v>0</v>
      </c>
      <c r="F91" s="78">
        <v>0</v>
      </c>
      <c r="G91" s="78">
        <v>0</v>
      </c>
      <c r="H91" s="78">
        <v>0</v>
      </c>
      <c r="I91" s="78">
        <v>0</v>
      </c>
      <c r="J91" s="78">
        <v>0</v>
      </c>
      <c r="K91" s="78">
        <v>0</v>
      </c>
      <c r="L91" s="78">
        <v>0</v>
      </c>
      <c r="M91" s="78">
        <v>0</v>
      </c>
      <c r="N91" s="78">
        <v>0</v>
      </c>
      <c r="O91" s="231">
        <v>0</v>
      </c>
    </row>
    <row r="92" spans="1:15" x14ac:dyDescent="0.2">
      <c r="A92" s="225"/>
      <c r="B92" s="226" t="s">
        <v>27</v>
      </c>
      <c r="C92" s="230">
        <v>0</v>
      </c>
      <c r="D92" s="78">
        <v>0</v>
      </c>
      <c r="E92" s="78">
        <v>0</v>
      </c>
      <c r="F92" s="78">
        <v>0</v>
      </c>
      <c r="G92" s="78">
        <v>0</v>
      </c>
      <c r="H92" s="78">
        <v>0</v>
      </c>
      <c r="I92" s="78">
        <v>0</v>
      </c>
      <c r="J92" s="78">
        <v>0</v>
      </c>
      <c r="K92" s="78">
        <v>0</v>
      </c>
      <c r="L92" s="78">
        <v>0</v>
      </c>
      <c r="M92" s="78">
        <v>0</v>
      </c>
      <c r="N92" s="78">
        <v>0</v>
      </c>
      <c r="O92" s="231">
        <v>0</v>
      </c>
    </row>
    <row r="93" spans="1:15" x14ac:dyDescent="0.2">
      <c r="A93" s="225"/>
      <c r="B93" s="226" t="s">
        <v>49</v>
      </c>
      <c r="C93" s="230">
        <v>0</v>
      </c>
      <c r="D93" s="78">
        <v>0</v>
      </c>
      <c r="E93" s="78">
        <v>0</v>
      </c>
      <c r="F93" s="78">
        <v>0</v>
      </c>
      <c r="G93" s="78">
        <v>0</v>
      </c>
      <c r="H93" s="78">
        <v>0</v>
      </c>
      <c r="I93" s="78">
        <v>0</v>
      </c>
      <c r="J93" s="78">
        <v>0</v>
      </c>
      <c r="K93" s="78">
        <v>0</v>
      </c>
      <c r="L93" s="78">
        <v>0</v>
      </c>
      <c r="M93" s="78">
        <v>0</v>
      </c>
      <c r="N93" s="78">
        <v>0</v>
      </c>
      <c r="O93" s="231">
        <v>0</v>
      </c>
    </row>
    <row r="94" spans="1:15" x14ac:dyDescent="0.2">
      <c r="A94" s="225"/>
      <c r="B94" s="226" t="s">
        <v>87</v>
      </c>
      <c r="C94" s="230">
        <v>0</v>
      </c>
      <c r="D94" s="78">
        <v>0</v>
      </c>
      <c r="E94" s="78">
        <v>0</v>
      </c>
      <c r="F94" s="78">
        <v>0</v>
      </c>
      <c r="G94" s="78">
        <v>0</v>
      </c>
      <c r="H94" s="78">
        <v>0</v>
      </c>
      <c r="I94" s="78">
        <v>0</v>
      </c>
      <c r="J94" s="78">
        <v>0</v>
      </c>
      <c r="K94" s="78">
        <v>0</v>
      </c>
      <c r="L94" s="78">
        <v>0</v>
      </c>
      <c r="M94" s="78">
        <v>0</v>
      </c>
      <c r="N94" s="78">
        <v>0</v>
      </c>
      <c r="O94" s="231">
        <v>0</v>
      </c>
    </row>
    <row r="95" spans="1:15" x14ac:dyDescent="0.2">
      <c r="A95" s="225"/>
      <c r="B95" s="226" t="s">
        <v>89</v>
      </c>
      <c r="C95" s="230">
        <v>0</v>
      </c>
      <c r="D95" s="78">
        <v>0</v>
      </c>
      <c r="E95" s="78">
        <v>0</v>
      </c>
      <c r="F95" s="78">
        <v>0</v>
      </c>
      <c r="G95" s="78">
        <v>0</v>
      </c>
      <c r="H95" s="78">
        <v>0</v>
      </c>
      <c r="I95" s="78">
        <v>0</v>
      </c>
      <c r="J95" s="78">
        <v>0</v>
      </c>
      <c r="K95" s="78">
        <v>0</v>
      </c>
      <c r="L95" s="78">
        <v>0</v>
      </c>
      <c r="M95" s="78">
        <v>0</v>
      </c>
      <c r="N95" s="78">
        <v>0</v>
      </c>
      <c r="O95" s="231">
        <v>0</v>
      </c>
    </row>
    <row r="96" spans="1:15" x14ac:dyDescent="0.2">
      <c r="A96" s="215" t="s">
        <v>57</v>
      </c>
      <c r="B96" s="215" t="s">
        <v>70</v>
      </c>
      <c r="C96" s="222">
        <v>38439.670000000006</v>
      </c>
      <c r="D96" s="223">
        <v>43634.22</v>
      </c>
      <c r="E96" s="223">
        <v>31167.300000000003</v>
      </c>
      <c r="F96" s="223">
        <v>33245.120000000003</v>
      </c>
      <c r="G96" s="223">
        <v>40517.490000000005</v>
      </c>
      <c r="H96" s="223">
        <v>48828.770000000004</v>
      </c>
      <c r="I96" s="223">
        <v>55062.23</v>
      </c>
      <c r="J96" s="223">
        <v>54023.320000000007</v>
      </c>
      <c r="K96" s="223">
        <v>46750.950000000004</v>
      </c>
      <c r="L96" s="223">
        <v>42595.310000000005</v>
      </c>
      <c r="M96" s="223">
        <v>30128.390000000003</v>
      </c>
      <c r="N96" s="223">
        <v>37400.76</v>
      </c>
      <c r="O96" s="224">
        <v>501793.53000000009</v>
      </c>
    </row>
    <row r="97" spans="1:15" x14ac:dyDescent="0.2">
      <c r="A97" s="225"/>
      <c r="B97" s="226" t="s">
        <v>25</v>
      </c>
      <c r="C97" s="230">
        <v>-2644.0199999999895</v>
      </c>
      <c r="D97" s="78">
        <v>-3001.3199999999924</v>
      </c>
      <c r="E97" s="78">
        <v>-2143.7999999999956</v>
      </c>
      <c r="F97" s="78">
        <v>-2286.7199999999939</v>
      </c>
      <c r="G97" s="78">
        <v>-2786.9399999999878</v>
      </c>
      <c r="H97" s="78">
        <v>-3358.6199999999881</v>
      </c>
      <c r="I97" s="78">
        <v>-3787.3799999999901</v>
      </c>
      <c r="J97" s="78">
        <v>-3715.9199999999837</v>
      </c>
      <c r="K97" s="78">
        <v>-3215.6999999999898</v>
      </c>
      <c r="L97" s="78">
        <v>-2929.8599999999933</v>
      </c>
      <c r="M97" s="78">
        <v>-2072.3399999999929</v>
      </c>
      <c r="N97" s="78">
        <v>-2572.5599999999904</v>
      </c>
      <c r="O97" s="231">
        <v>-34515.179999999891</v>
      </c>
    </row>
    <row r="98" spans="1:15" x14ac:dyDescent="0.2">
      <c r="A98" s="225"/>
      <c r="B98" s="226" t="s">
        <v>26</v>
      </c>
      <c r="C98" s="230">
        <v>204.50377695854522</v>
      </c>
      <c r="D98" s="78">
        <v>232.13942249348375</v>
      </c>
      <c r="E98" s="78">
        <v>165.81387320963125</v>
      </c>
      <c r="F98" s="78">
        <v>176.86813142360666</v>
      </c>
      <c r="G98" s="78">
        <v>215.55803517252065</v>
      </c>
      <c r="H98" s="78">
        <v>259.77506802842231</v>
      </c>
      <c r="I98" s="78">
        <v>292.93784267034857</v>
      </c>
      <c r="J98" s="78">
        <v>287.41071356336084</v>
      </c>
      <c r="K98" s="78">
        <v>248.72080981444688</v>
      </c>
      <c r="L98" s="78">
        <v>226.61229338649605</v>
      </c>
      <c r="M98" s="78">
        <v>160.28674410264355</v>
      </c>
      <c r="N98" s="78">
        <v>198.97664785155752</v>
      </c>
      <c r="O98" s="231">
        <v>2669.6033586750636</v>
      </c>
    </row>
    <row r="99" spans="1:15" x14ac:dyDescent="0.2">
      <c r="A99" s="225"/>
      <c r="B99" s="226" t="s">
        <v>27</v>
      </c>
      <c r="C99" s="230">
        <v>-2439.5162230414444</v>
      </c>
      <c r="D99" s="78">
        <v>-2769.1805775065086</v>
      </c>
      <c r="E99" s="78">
        <v>-1977.9861267903643</v>
      </c>
      <c r="F99" s="78">
        <v>-2109.8518685763875</v>
      </c>
      <c r="G99" s="78">
        <v>-2571.3819648274671</v>
      </c>
      <c r="H99" s="78">
        <v>-3098.8449319715655</v>
      </c>
      <c r="I99" s="78">
        <v>-3494.4421573296413</v>
      </c>
      <c r="J99" s="78">
        <v>-3428.5092864366229</v>
      </c>
      <c r="K99" s="78">
        <v>-2966.9791901855428</v>
      </c>
      <c r="L99" s="78">
        <v>-2703.247706613497</v>
      </c>
      <c r="M99" s="78">
        <v>-1912.0532558973493</v>
      </c>
      <c r="N99" s="78">
        <v>-2373.5833521484328</v>
      </c>
      <c r="O99" s="231">
        <v>-31845.57664132482</v>
      </c>
    </row>
    <row r="100" spans="1:15" x14ac:dyDescent="0.2">
      <c r="A100" s="225"/>
      <c r="B100" s="226" t="s">
        <v>49</v>
      </c>
      <c r="C100" s="230">
        <v>41083.689999999995</v>
      </c>
      <c r="D100" s="78">
        <v>46635.539999999994</v>
      </c>
      <c r="E100" s="78">
        <v>33311.1</v>
      </c>
      <c r="F100" s="78">
        <v>35531.839999999997</v>
      </c>
      <c r="G100" s="78">
        <v>43304.429999999993</v>
      </c>
      <c r="H100" s="78">
        <v>52187.389999999992</v>
      </c>
      <c r="I100" s="78">
        <v>58849.609999999993</v>
      </c>
      <c r="J100" s="78">
        <v>57739.239999999991</v>
      </c>
      <c r="K100" s="78">
        <v>49966.649999999994</v>
      </c>
      <c r="L100" s="78">
        <v>45525.17</v>
      </c>
      <c r="M100" s="78">
        <v>32200.729999999996</v>
      </c>
      <c r="N100" s="78">
        <v>39973.319999999992</v>
      </c>
      <c r="O100" s="231">
        <v>536308.71</v>
      </c>
    </row>
    <row r="101" spans="1:15" x14ac:dyDescent="0.2">
      <c r="A101" s="225"/>
      <c r="B101" s="226" t="s">
        <v>87</v>
      </c>
      <c r="C101" s="230">
        <v>0</v>
      </c>
      <c r="D101" s="78">
        <v>0</v>
      </c>
      <c r="E101" s="78">
        <v>0</v>
      </c>
      <c r="F101" s="78">
        <v>0</v>
      </c>
      <c r="G101" s="78">
        <v>0</v>
      </c>
      <c r="H101" s="78">
        <v>0</v>
      </c>
      <c r="I101" s="78">
        <v>0</v>
      </c>
      <c r="J101" s="78">
        <v>0</v>
      </c>
      <c r="K101" s="78">
        <v>0</v>
      </c>
      <c r="L101" s="78">
        <v>0</v>
      </c>
      <c r="M101" s="78">
        <v>0</v>
      </c>
      <c r="N101" s="78">
        <v>0</v>
      </c>
      <c r="O101" s="231">
        <v>0</v>
      </c>
    </row>
    <row r="102" spans="1:15" x14ac:dyDescent="0.2">
      <c r="A102" s="225"/>
      <c r="B102" s="226" t="s">
        <v>89</v>
      </c>
      <c r="C102" s="230">
        <v>0</v>
      </c>
      <c r="D102" s="78">
        <v>0</v>
      </c>
      <c r="E102" s="78">
        <v>0</v>
      </c>
      <c r="F102" s="78">
        <v>0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0</v>
      </c>
      <c r="M102" s="78">
        <v>0</v>
      </c>
      <c r="N102" s="78">
        <v>0</v>
      </c>
      <c r="O102" s="231">
        <v>0</v>
      </c>
    </row>
    <row r="103" spans="1:15" x14ac:dyDescent="0.2">
      <c r="A103" s="215" t="s">
        <v>81</v>
      </c>
      <c r="B103" s="215" t="s">
        <v>70</v>
      </c>
      <c r="C103" s="222">
        <v>219210.01</v>
      </c>
      <c r="D103" s="223">
        <v>207782.00000000003</v>
      </c>
      <c r="E103" s="223">
        <v>126747.02</v>
      </c>
      <c r="F103" s="223">
        <v>113241.19</v>
      </c>
      <c r="G103" s="223">
        <v>105968.82</v>
      </c>
      <c r="H103" s="223">
        <v>136097.21000000002</v>
      </c>
      <c r="I103" s="223">
        <v>151680.86000000002</v>
      </c>
      <c r="J103" s="223">
        <v>154797.59000000003</v>
      </c>
      <c r="K103" s="223">
        <v>126747.02</v>
      </c>
      <c r="L103" s="223">
        <v>121552.47000000002</v>
      </c>
      <c r="M103" s="223">
        <v>122591.38</v>
      </c>
      <c r="N103" s="223">
        <v>184925.98</v>
      </c>
      <c r="O103" s="224">
        <v>1771341.5500000003</v>
      </c>
    </row>
    <row r="104" spans="1:15" x14ac:dyDescent="0.2">
      <c r="A104" s="225"/>
      <c r="B104" s="226" t="s">
        <v>25</v>
      </c>
      <c r="C104" s="230">
        <v>-15078.059999999969</v>
      </c>
      <c r="D104" s="78">
        <v>-14291.999999999942</v>
      </c>
      <c r="E104" s="78">
        <v>-8718.1199999999808</v>
      </c>
      <c r="F104" s="78">
        <v>-7789.1399999999849</v>
      </c>
      <c r="G104" s="78">
        <v>-7288.9199999999837</v>
      </c>
      <c r="H104" s="78">
        <v>-9361.2599999999511</v>
      </c>
      <c r="I104" s="78">
        <v>-10433.159999999974</v>
      </c>
      <c r="J104" s="78">
        <v>-10647.53999999995</v>
      </c>
      <c r="K104" s="78">
        <v>-8718.1199999999808</v>
      </c>
      <c r="L104" s="78">
        <v>-8360.8199999999779</v>
      </c>
      <c r="M104" s="78">
        <v>-8432.2799999999843</v>
      </c>
      <c r="N104" s="78">
        <v>-12719.879999999976</v>
      </c>
      <c r="O104" s="231">
        <v>-121839.29999999965</v>
      </c>
    </row>
    <row r="105" spans="1:15" x14ac:dyDescent="0.2">
      <c r="A105" s="225"/>
      <c r="B105" s="226" t="s">
        <v>26</v>
      </c>
      <c r="C105" s="230">
        <v>1166.2242415744067</v>
      </c>
      <c r="D105" s="78">
        <v>1105.4258213975418</v>
      </c>
      <c r="E105" s="78">
        <v>674.30975105250047</v>
      </c>
      <c r="F105" s="78">
        <v>602.45707266166028</v>
      </c>
      <c r="G105" s="78">
        <v>563.76716891274634</v>
      </c>
      <c r="H105" s="78">
        <v>724.05391301538987</v>
      </c>
      <c r="I105" s="78">
        <v>806.96084962020541</v>
      </c>
      <c r="J105" s="78">
        <v>823.54223694116865</v>
      </c>
      <c r="K105" s="78">
        <v>674.30975105250047</v>
      </c>
      <c r="L105" s="78">
        <v>646.674105517562</v>
      </c>
      <c r="M105" s="78">
        <v>652.20123462454967</v>
      </c>
      <c r="N105" s="78">
        <v>983.82898104381218</v>
      </c>
      <c r="O105" s="231">
        <v>9423.7551274140442</v>
      </c>
    </row>
    <row r="106" spans="1:15" x14ac:dyDescent="0.2">
      <c r="A106" s="225"/>
      <c r="B106" s="226" t="s">
        <v>27</v>
      </c>
      <c r="C106" s="230">
        <v>-13911.835758425561</v>
      </c>
      <c r="D106" s="78">
        <v>-13186.574178602401</v>
      </c>
      <c r="E106" s="78">
        <v>-8043.8102489474804</v>
      </c>
      <c r="F106" s="78">
        <v>-7186.6829273383246</v>
      </c>
      <c r="G106" s="78">
        <v>-6725.1528310872372</v>
      </c>
      <c r="H106" s="78">
        <v>-8637.2060869845609</v>
      </c>
      <c r="I106" s="78">
        <v>-9626.199150379769</v>
      </c>
      <c r="J106" s="78">
        <v>-9823.9977630587819</v>
      </c>
      <c r="K106" s="78">
        <v>-8043.8102489474804</v>
      </c>
      <c r="L106" s="78">
        <v>-7714.1458944824162</v>
      </c>
      <c r="M106" s="78">
        <v>-7780.0787653754342</v>
      </c>
      <c r="N106" s="78">
        <v>-11736.051018956163</v>
      </c>
      <c r="O106" s="231">
        <v>-112415.54487258561</v>
      </c>
    </row>
    <row r="107" spans="1:15" x14ac:dyDescent="0.2">
      <c r="A107" s="225"/>
      <c r="B107" s="226" t="s">
        <v>49</v>
      </c>
      <c r="C107" s="230">
        <v>234288.06999999998</v>
      </c>
      <c r="D107" s="78">
        <v>222073.99999999997</v>
      </c>
      <c r="E107" s="78">
        <v>135465.13999999998</v>
      </c>
      <c r="F107" s="78">
        <v>121030.32999999999</v>
      </c>
      <c r="G107" s="78">
        <v>113257.73999999999</v>
      </c>
      <c r="H107" s="78">
        <v>145458.46999999997</v>
      </c>
      <c r="I107" s="78">
        <v>162114.01999999999</v>
      </c>
      <c r="J107" s="78">
        <v>165445.12999999998</v>
      </c>
      <c r="K107" s="78">
        <v>135465.13999999998</v>
      </c>
      <c r="L107" s="78">
        <v>129913.29</v>
      </c>
      <c r="M107" s="78">
        <v>131023.65999999999</v>
      </c>
      <c r="N107" s="78">
        <v>197645.86</v>
      </c>
      <c r="O107" s="231">
        <v>1893180.8499999996</v>
      </c>
    </row>
    <row r="108" spans="1:15" x14ac:dyDescent="0.2">
      <c r="A108" s="225"/>
      <c r="B108" s="226" t="s">
        <v>87</v>
      </c>
      <c r="C108" s="230">
        <v>0</v>
      </c>
      <c r="D108" s="78">
        <v>0</v>
      </c>
      <c r="E108" s="78">
        <v>0</v>
      </c>
      <c r="F108" s="78">
        <v>0</v>
      </c>
      <c r="G108" s="78">
        <v>0</v>
      </c>
      <c r="H108" s="78">
        <v>0</v>
      </c>
      <c r="I108" s="78">
        <v>0</v>
      </c>
      <c r="J108" s="78">
        <v>0</v>
      </c>
      <c r="K108" s="78">
        <v>0</v>
      </c>
      <c r="L108" s="78">
        <v>0</v>
      </c>
      <c r="M108" s="78">
        <v>0</v>
      </c>
      <c r="N108" s="78">
        <v>0</v>
      </c>
      <c r="O108" s="231">
        <v>0</v>
      </c>
    </row>
    <row r="109" spans="1:15" x14ac:dyDescent="0.2">
      <c r="A109" s="225"/>
      <c r="B109" s="226" t="s">
        <v>89</v>
      </c>
      <c r="C109" s="230">
        <v>0</v>
      </c>
      <c r="D109" s="78">
        <v>0</v>
      </c>
      <c r="E109" s="78">
        <v>0</v>
      </c>
      <c r="F109" s="78">
        <v>0</v>
      </c>
      <c r="G109" s="78">
        <v>0</v>
      </c>
      <c r="H109" s="78">
        <v>0</v>
      </c>
      <c r="I109" s="78">
        <v>0</v>
      </c>
      <c r="J109" s="78">
        <v>0</v>
      </c>
      <c r="K109" s="78">
        <v>0</v>
      </c>
      <c r="L109" s="78">
        <v>0</v>
      </c>
      <c r="M109" s="78">
        <v>0</v>
      </c>
      <c r="N109" s="78">
        <v>0</v>
      </c>
      <c r="O109" s="231">
        <v>0</v>
      </c>
    </row>
    <row r="110" spans="1:15" x14ac:dyDescent="0.2">
      <c r="A110" s="215" t="s">
        <v>83</v>
      </c>
      <c r="B110" s="215" t="s">
        <v>70</v>
      </c>
      <c r="C110" s="222">
        <v>48828.770000000004</v>
      </c>
      <c r="D110" s="223">
        <v>59217.87</v>
      </c>
      <c r="E110" s="223">
        <v>35322.94</v>
      </c>
      <c r="F110" s="223">
        <v>28050.570000000003</v>
      </c>
      <c r="G110" s="223">
        <v>41556.400000000001</v>
      </c>
      <c r="H110" s="223">
        <v>47789.86</v>
      </c>
      <c r="I110" s="223">
        <v>57140.05</v>
      </c>
      <c r="J110" s="223">
        <v>57140.05</v>
      </c>
      <c r="K110" s="223">
        <v>45712.04</v>
      </c>
      <c r="L110" s="223">
        <v>35322.94</v>
      </c>
      <c r="M110" s="223">
        <v>36361.850000000006</v>
      </c>
      <c r="N110" s="223">
        <v>40517.490000000005</v>
      </c>
      <c r="O110" s="224">
        <v>532960.82999999996</v>
      </c>
    </row>
    <row r="111" spans="1:15" x14ac:dyDescent="0.2">
      <c r="A111" s="225"/>
      <c r="B111" s="226" t="s">
        <v>25</v>
      </c>
      <c r="C111" s="230">
        <v>-3358.6199999999881</v>
      </c>
      <c r="D111" s="78">
        <v>-4073.2199999999939</v>
      </c>
      <c r="E111" s="78">
        <v>-2429.6399999999921</v>
      </c>
      <c r="F111" s="78">
        <v>-1929.4199999999946</v>
      </c>
      <c r="G111" s="78">
        <v>-2858.3999999999942</v>
      </c>
      <c r="H111" s="78">
        <v>-3287.1599999999962</v>
      </c>
      <c r="I111" s="78">
        <v>-3930.2999999999884</v>
      </c>
      <c r="J111" s="78">
        <v>-3930.2999999999884</v>
      </c>
      <c r="K111" s="78">
        <v>-3144.239999999998</v>
      </c>
      <c r="L111" s="78">
        <v>-2429.6399999999921</v>
      </c>
      <c r="M111" s="78">
        <v>-2501.0999999999913</v>
      </c>
      <c r="N111" s="78">
        <v>-2786.9399999999878</v>
      </c>
      <c r="O111" s="231">
        <v>-36658.979999999909</v>
      </c>
    </row>
    <row r="112" spans="1:15" x14ac:dyDescent="0.2">
      <c r="A112" s="225"/>
      <c r="B112" s="226" t="s">
        <v>26</v>
      </c>
      <c r="C112" s="230">
        <v>259.77506802842231</v>
      </c>
      <c r="D112" s="78">
        <v>315.04635909829938</v>
      </c>
      <c r="E112" s="78">
        <v>187.92238963758209</v>
      </c>
      <c r="F112" s="78">
        <v>149.23248588866815</v>
      </c>
      <c r="G112" s="78">
        <v>221.08516427950835</v>
      </c>
      <c r="H112" s="78">
        <v>254.24793892143461</v>
      </c>
      <c r="I112" s="78">
        <v>303.99210088432403</v>
      </c>
      <c r="J112" s="78">
        <v>303.99210088432403</v>
      </c>
      <c r="K112" s="78">
        <v>243.19368070745921</v>
      </c>
      <c r="L112" s="78">
        <v>187.92238963758209</v>
      </c>
      <c r="M112" s="78">
        <v>193.44951874456981</v>
      </c>
      <c r="N112" s="78">
        <v>215.55803517252065</v>
      </c>
      <c r="O112" s="231">
        <v>2835.417231884695</v>
      </c>
    </row>
    <row r="113" spans="1:15" x14ac:dyDescent="0.2">
      <c r="A113" s="225"/>
      <c r="B113" s="226" t="s">
        <v>27</v>
      </c>
      <c r="C113" s="230">
        <v>-3098.8449319715655</v>
      </c>
      <c r="D113" s="78">
        <v>-3758.1736409016944</v>
      </c>
      <c r="E113" s="78">
        <v>-2241.7176103624101</v>
      </c>
      <c r="F113" s="78">
        <v>-1780.1875141113264</v>
      </c>
      <c r="G113" s="78">
        <v>-2637.3148357204859</v>
      </c>
      <c r="H113" s="78">
        <v>-3032.9120610785617</v>
      </c>
      <c r="I113" s="78">
        <v>-3626.3078991156644</v>
      </c>
      <c r="J113" s="78">
        <v>-3626.3078991156644</v>
      </c>
      <c r="K113" s="78">
        <v>-2901.0463192925386</v>
      </c>
      <c r="L113" s="78">
        <v>-2241.7176103624101</v>
      </c>
      <c r="M113" s="78">
        <v>-2307.6504812554213</v>
      </c>
      <c r="N113" s="78">
        <v>-2571.3819648274671</v>
      </c>
      <c r="O113" s="231">
        <v>-33823.562768115211</v>
      </c>
    </row>
    <row r="114" spans="1:15" x14ac:dyDescent="0.2">
      <c r="A114" s="225"/>
      <c r="B114" s="226" t="s">
        <v>49</v>
      </c>
      <c r="C114" s="230">
        <v>52187.389999999992</v>
      </c>
      <c r="D114" s="78">
        <v>63291.09</v>
      </c>
      <c r="E114" s="78">
        <v>37752.579999999994</v>
      </c>
      <c r="F114" s="78">
        <v>29979.989999999998</v>
      </c>
      <c r="G114" s="78">
        <v>44414.799999999996</v>
      </c>
      <c r="H114" s="78">
        <v>51077.02</v>
      </c>
      <c r="I114" s="78">
        <v>61070.349999999991</v>
      </c>
      <c r="J114" s="78">
        <v>61070.349999999991</v>
      </c>
      <c r="K114" s="78">
        <v>48856.28</v>
      </c>
      <c r="L114" s="78">
        <v>37752.579999999994</v>
      </c>
      <c r="M114" s="78">
        <v>38862.949999999997</v>
      </c>
      <c r="N114" s="78">
        <v>43304.429999999993</v>
      </c>
      <c r="O114" s="231">
        <v>569619.80999999982</v>
      </c>
    </row>
    <row r="115" spans="1:15" x14ac:dyDescent="0.2">
      <c r="A115" s="225"/>
      <c r="B115" s="226" t="s">
        <v>87</v>
      </c>
      <c r="C115" s="230">
        <v>0</v>
      </c>
      <c r="D115" s="78">
        <v>0</v>
      </c>
      <c r="E115" s="78">
        <v>0</v>
      </c>
      <c r="F115" s="78">
        <v>0</v>
      </c>
      <c r="G115" s="78">
        <v>0</v>
      </c>
      <c r="H115" s="78">
        <v>0</v>
      </c>
      <c r="I115" s="78">
        <v>0</v>
      </c>
      <c r="J115" s="78">
        <v>0</v>
      </c>
      <c r="K115" s="78">
        <v>0</v>
      </c>
      <c r="L115" s="78">
        <v>0</v>
      </c>
      <c r="M115" s="78">
        <v>0</v>
      </c>
      <c r="N115" s="78">
        <v>0</v>
      </c>
      <c r="O115" s="231">
        <v>0</v>
      </c>
    </row>
    <row r="116" spans="1:15" x14ac:dyDescent="0.2">
      <c r="A116" s="225"/>
      <c r="B116" s="226" t="s">
        <v>89</v>
      </c>
      <c r="C116" s="230">
        <v>0</v>
      </c>
      <c r="D116" s="78">
        <v>0</v>
      </c>
      <c r="E116" s="78">
        <v>0</v>
      </c>
      <c r="F116" s="78">
        <v>0</v>
      </c>
      <c r="G116" s="78">
        <v>0</v>
      </c>
      <c r="H116" s="78">
        <v>0</v>
      </c>
      <c r="I116" s="78">
        <v>0</v>
      </c>
      <c r="J116" s="78">
        <v>0</v>
      </c>
      <c r="K116" s="78">
        <v>0</v>
      </c>
      <c r="L116" s="78">
        <v>0</v>
      </c>
      <c r="M116" s="78">
        <v>0</v>
      </c>
      <c r="N116" s="78">
        <v>0</v>
      </c>
      <c r="O116" s="231">
        <v>0</v>
      </c>
    </row>
    <row r="117" spans="1:15" x14ac:dyDescent="0.2">
      <c r="A117" s="215" t="s">
        <v>71</v>
      </c>
      <c r="B117" s="216"/>
      <c r="C117" s="222">
        <v>9786532.2000000011</v>
      </c>
      <c r="D117" s="223">
        <v>10212485.300000001</v>
      </c>
      <c r="E117" s="223">
        <v>7276525.6400000006</v>
      </c>
      <c r="F117" s="223">
        <v>7254708.5300000012</v>
      </c>
      <c r="G117" s="223">
        <v>8896186.3300000019</v>
      </c>
      <c r="H117" s="223">
        <v>10112749.940000001</v>
      </c>
      <c r="I117" s="223">
        <v>11072702.780000001</v>
      </c>
      <c r="J117" s="223">
        <v>11143348.660000004</v>
      </c>
      <c r="K117" s="223">
        <v>9655629.5399999991</v>
      </c>
      <c r="L117" s="223">
        <v>8786061.870000001</v>
      </c>
      <c r="M117" s="223">
        <v>7040693.0699999994</v>
      </c>
      <c r="N117" s="223">
        <v>8754894.5700000003</v>
      </c>
      <c r="O117" s="224">
        <v>109992518.43000001</v>
      </c>
    </row>
    <row r="118" spans="1:15" x14ac:dyDescent="0.2">
      <c r="A118" s="215" t="s">
        <v>28</v>
      </c>
      <c r="B118" s="216"/>
      <c r="C118" s="232">
        <v>-673153.19999999832</v>
      </c>
      <c r="D118" s="233">
        <v>-702451.79999999795</v>
      </c>
      <c r="E118" s="233">
        <v>-500505.83999999869</v>
      </c>
      <c r="F118" s="233">
        <v>-499005.1799999986</v>
      </c>
      <c r="G118" s="233">
        <v>-611911.97999999847</v>
      </c>
      <c r="H118" s="233">
        <v>-695591.63999999838</v>
      </c>
      <c r="I118" s="233">
        <v>-761620.67999999784</v>
      </c>
      <c r="J118" s="233">
        <v>-766479.95999999833</v>
      </c>
      <c r="K118" s="233">
        <v>-664149.23999999824</v>
      </c>
      <c r="L118" s="233">
        <v>-604337.21999999869</v>
      </c>
      <c r="M118" s="233">
        <v>-484284.41999999859</v>
      </c>
      <c r="N118" s="233">
        <v>-602193.41999999841</v>
      </c>
      <c r="O118" s="234">
        <v>-7565684.5799999805</v>
      </c>
    </row>
    <row r="119" spans="1:15" x14ac:dyDescent="0.2">
      <c r="A119" s="215" t="s">
        <v>29</v>
      </c>
      <c r="B119" s="216"/>
      <c r="C119" s="232">
        <v>52065.556187824215</v>
      </c>
      <c r="D119" s="233">
        <v>54331.679121689165</v>
      </c>
      <c r="E119" s="233">
        <v>38712.012265341917</v>
      </c>
      <c r="F119" s="233">
        <v>38595.942554095178</v>
      </c>
      <c r="G119" s="233">
        <v>47328.806543135746</v>
      </c>
      <c r="H119" s="233">
        <v>53801.07472741836</v>
      </c>
      <c r="I119" s="233">
        <v>58908.142022274995</v>
      </c>
      <c r="J119" s="233">
        <v>59283.986801550163</v>
      </c>
      <c r="K119" s="233">
        <v>51369.137920343768</v>
      </c>
      <c r="L119" s="233">
        <v>46742.930857795051</v>
      </c>
      <c r="M119" s="233">
        <v>37457.353958055697</v>
      </c>
      <c r="N119" s="233">
        <v>46577.116984585431</v>
      </c>
      <c r="O119" s="234">
        <v>585173.73994410969</v>
      </c>
    </row>
    <row r="120" spans="1:15" x14ac:dyDescent="0.2">
      <c r="A120" s="215" t="s">
        <v>30</v>
      </c>
      <c r="B120" s="216"/>
      <c r="C120" s="232">
        <v>-621087.64381217398</v>
      </c>
      <c r="D120" s="233">
        <v>-648120.12087830901</v>
      </c>
      <c r="E120" s="233">
        <v>-461793.82773465663</v>
      </c>
      <c r="F120" s="233">
        <v>-460409.23744590348</v>
      </c>
      <c r="G120" s="233">
        <v>-564583.17345686245</v>
      </c>
      <c r="H120" s="233">
        <v>-641790.56527258002</v>
      </c>
      <c r="I120" s="233">
        <v>-702712.53797772294</v>
      </c>
      <c r="J120" s="233">
        <v>-707195.97319844784</v>
      </c>
      <c r="K120" s="233">
        <v>-612780.10207965446</v>
      </c>
      <c r="L120" s="233">
        <v>-557594.28914220352</v>
      </c>
      <c r="M120" s="233">
        <v>-446827.06604194298</v>
      </c>
      <c r="N120" s="233">
        <v>-555616.30301541311</v>
      </c>
      <c r="O120" s="234">
        <v>-6980510.8400558708</v>
      </c>
    </row>
    <row r="121" spans="1:15" x14ac:dyDescent="0.2">
      <c r="A121" s="215" t="s">
        <v>61</v>
      </c>
      <c r="B121" s="216"/>
      <c r="C121" s="222">
        <v>10459685.399999999</v>
      </c>
      <c r="D121" s="223">
        <v>10914937.099999998</v>
      </c>
      <c r="E121" s="223">
        <v>7777031.4799999986</v>
      </c>
      <c r="F121" s="223">
        <v>7753713.7100000009</v>
      </c>
      <c r="G121" s="223">
        <v>9508098.3099999987</v>
      </c>
      <c r="H121" s="223">
        <v>10808341.580000002</v>
      </c>
      <c r="I121" s="223">
        <v>11834323.459999995</v>
      </c>
      <c r="J121" s="223">
        <v>11909828.619999999</v>
      </c>
      <c r="K121" s="223">
        <v>10319778.779999999</v>
      </c>
      <c r="L121" s="223">
        <v>9390399.0899999999</v>
      </c>
      <c r="M121" s="223">
        <v>7524977.4900000002</v>
      </c>
      <c r="N121" s="223">
        <v>9357087.9899999984</v>
      </c>
      <c r="O121" s="224">
        <v>117558203.00999999</v>
      </c>
    </row>
    <row r="122" spans="1:15" x14ac:dyDescent="0.2">
      <c r="A122" s="215" t="s">
        <v>88</v>
      </c>
      <c r="B122" s="216"/>
      <c r="C122" s="222">
        <v>0</v>
      </c>
      <c r="D122" s="223">
        <v>0</v>
      </c>
      <c r="E122" s="223">
        <v>0</v>
      </c>
      <c r="F122" s="223">
        <v>0</v>
      </c>
      <c r="G122" s="223">
        <v>0</v>
      </c>
      <c r="H122" s="223">
        <v>0</v>
      </c>
      <c r="I122" s="223">
        <v>0</v>
      </c>
      <c r="J122" s="223">
        <v>0</v>
      </c>
      <c r="K122" s="223">
        <v>0</v>
      </c>
      <c r="L122" s="223">
        <v>0</v>
      </c>
      <c r="M122" s="223">
        <v>0</v>
      </c>
      <c r="N122" s="223">
        <v>0</v>
      </c>
      <c r="O122" s="224">
        <v>0</v>
      </c>
    </row>
    <row r="123" spans="1:15" x14ac:dyDescent="0.2">
      <c r="A123" s="235" t="s">
        <v>90</v>
      </c>
      <c r="B123" s="236"/>
      <c r="C123" s="237">
        <v>0</v>
      </c>
      <c r="D123" s="238">
        <v>0</v>
      </c>
      <c r="E123" s="238">
        <v>0</v>
      </c>
      <c r="F123" s="238">
        <v>0</v>
      </c>
      <c r="G123" s="238">
        <v>0</v>
      </c>
      <c r="H123" s="238">
        <v>0</v>
      </c>
      <c r="I123" s="238">
        <v>0</v>
      </c>
      <c r="J123" s="238">
        <v>0</v>
      </c>
      <c r="K123" s="238">
        <v>0</v>
      </c>
      <c r="L123" s="238">
        <v>0</v>
      </c>
      <c r="M123" s="238">
        <v>0</v>
      </c>
      <c r="N123" s="238">
        <v>0</v>
      </c>
      <c r="O123" s="239">
        <v>0</v>
      </c>
    </row>
    <row r="125" spans="1:15" x14ac:dyDescent="0.2">
      <c r="L125" s="78"/>
      <c r="O125" s="78"/>
    </row>
    <row r="126" spans="1:15" x14ac:dyDescent="0.2">
      <c r="L126" s="78"/>
      <c r="O126" s="78"/>
    </row>
  </sheetData>
  <phoneticPr fontId="6" type="noConversion"/>
  <pageMargins left="0.5" right="0.5" top="0.73" bottom="0.98" header="0.5" footer="0.5"/>
  <pageSetup scale="52" fitToHeight="0" orientation="landscape" horizontalDpi="1200" verticalDpi="1200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R220"/>
  <sheetViews>
    <sheetView showGridLines="0" zoomScale="90" zoomScaleNormal="90" zoomScaleSheetLayoutView="100" workbookViewId="0">
      <selection activeCell="M14" sqref="M14"/>
    </sheetView>
  </sheetViews>
  <sheetFormatPr defaultColWidth="8.7109375" defaultRowHeight="12.75" x14ac:dyDescent="0.2"/>
  <cols>
    <col min="1" max="1" width="0.5703125" customWidth="1"/>
    <col min="2" max="2" width="10.28515625" bestFit="1" customWidth="1"/>
    <col min="3" max="3" width="10.7109375" bestFit="1" customWidth="1"/>
    <col min="4" max="4" width="11" style="89" customWidth="1"/>
    <col min="5" max="5" width="24.28515625" customWidth="1"/>
    <col min="6" max="6" width="7.7109375" style="89" customWidth="1"/>
    <col min="7" max="7" width="8.85546875" style="89" customWidth="1"/>
    <col min="8" max="8" width="11.140625" style="89" bestFit="1" customWidth="1"/>
    <col min="9" max="9" width="11.28515625" style="45" customWidth="1"/>
    <col min="10" max="10" width="14.85546875" style="89" bestFit="1" customWidth="1"/>
    <col min="11" max="11" width="14.85546875" style="95" bestFit="1" customWidth="1"/>
    <col min="12" max="12" width="14.7109375" style="89" customWidth="1"/>
    <col min="13" max="13" width="13.42578125" style="89" bestFit="1" customWidth="1"/>
    <col min="14" max="15" width="13.42578125" style="89" customWidth="1"/>
    <col min="16" max="16" width="14.85546875" style="89" bestFit="1" customWidth="1"/>
    <col min="17" max="17" width="13.42578125" style="89" customWidth="1"/>
    <col min="18" max="18" width="15.5703125" style="183" customWidth="1"/>
  </cols>
  <sheetData>
    <row r="1" spans="2:18" ht="22.5" x14ac:dyDescent="0.2">
      <c r="B1" s="8" t="s">
        <v>95</v>
      </c>
      <c r="C1" s="79"/>
      <c r="D1" s="80"/>
      <c r="E1" s="79"/>
      <c r="F1" s="81" t="s">
        <v>12</v>
      </c>
      <c r="G1" s="82"/>
      <c r="H1" s="83"/>
      <c r="I1" s="84"/>
      <c r="J1" s="186" t="str">
        <f>"True-Up ARR
(CY"&amp;R1&amp;")"</f>
        <v>True-Up ARR
(CY2025)</v>
      </c>
      <c r="K1" s="186" t="str">
        <f>"Projected ARR
(Jan'"&amp;RIGHT(R$1,2)&amp;" - Dec'"&amp;RIGHT(R$1,2)&amp;")"</f>
        <v>Projected ARR
(Jan'25 - Dec'25)</v>
      </c>
      <c r="L1" s="85" t="s">
        <v>45</v>
      </c>
      <c r="M1" s="86"/>
      <c r="N1"/>
      <c r="O1"/>
      <c r="P1"/>
      <c r="Q1"/>
      <c r="R1" s="87">
        <v>2025</v>
      </c>
    </row>
    <row r="2" spans="2:18" x14ac:dyDescent="0.2">
      <c r="B2" s="8" t="s">
        <v>52</v>
      </c>
      <c r="C2" s="79"/>
      <c r="D2" s="80"/>
      <c r="E2" s="79"/>
      <c r="F2" s="88">
        <v>9</v>
      </c>
      <c r="G2" s="240"/>
      <c r="H2" s="240"/>
      <c r="I2" s="90" t="s">
        <v>6</v>
      </c>
      <c r="J2" s="91">
        <v>109992036.04098561</v>
      </c>
      <c r="K2" s="91">
        <v>114991075.32049818</v>
      </c>
      <c r="L2" s="190"/>
      <c r="M2" s="93"/>
      <c r="N2"/>
      <c r="O2"/>
      <c r="P2"/>
      <c r="Q2"/>
      <c r="R2"/>
    </row>
    <row r="3" spans="2:18" x14ac:dyDescent="0.2">
      <c r="B3" s="8" t="str">
        <f>"for CY"&amp;R1&amp;" SPP Network Transmission Service"</f>
        <v>for CY2025 SPP Network Transmission Service</v>
      </c>
      <c r="C3" s="79"/>
      <c r="D3" s="80"/>
      <c r="E3" s="79"/>
      <c r="F3" s="88"/>
      <c r="G3" s="240"/>
      <c r="H3" s="240"/>
      <c r="I3" s="90" t="s">
        <v>10</v>
      </c>
      <c r="J3" s="94">
        <v>1038.9100000000001</v>
      </c>
      <c r="K3" s="94">
        <v>1110.3699999999999</v>
      </c>
      <c r="L3" s="112" t="str">
        <f>"Inv. Jan-Dec'"&amp;RIGHT(R1,2)</f>
        <v>Inv. Jan-Dec'25</v>
      </c>
      <c r="M3" s="93"/>
      <c r="N3"/>
      <c r="O3"/>
      <c r="P3"/>
      <c r="Q3"/>
      <c r="R3"/>
    </row>
    <row r="4" spans="2:18" x14ac:dyDescent="0.2">
      <c r="B4" s="7"/>
      <c r="C4" s="79"/>
      <c r="D4" s="80"/>
      <c r="E4" s="79"/>
      <c r="F4" s="88"/>
      <c r="M4" s="96"/>
      <c r="O4" s="213"/>
      <c r="R4"/>
    </row>
    <row r="5" spans="2:18" x14ac:dyDescent="0.2">
      <c r="B5" s="7"/>
      <c r="C5" s="79"/>
      <c r="D5" s="80"/>
      <c r="E5" s="79"/>
      <c r="F5" s="88"/>
      <c r="I5" s="90"/>
      <c r="K5" s="91">
        <v>0</v>
      </c>
      <c r="L5" s="112"/>
      <c r="M5" s="97"/>
      <c r="N5" s="98"/>
      <c r="O5" s="98"/>
      <c r="P5" s="98"/>
      <c r="Q5" s="98"/>
      <c r="R5" s="99"/>
    </row>
    <row r="6" spans="2:18" x14ac:dyDescent="0.2">
      <c r="B6" s="8" t="s">
        <v>23</v>
      </c>
      <c r="D6" s="80"/>
      <c r="E6" s="79"/>
      <c r="F6" s="100"/>
      <c r="G6" s="14"/>
      <c r="H6" s="101"/>
      <c r="I6" s="102"/>
      <c r="J6" s="103"/>
      <c r="K6" s="94">
        <v>0</v>
      </c>
      <c r="L6" s="104"/>
      <c r="M6" s="97"/>
      <c r="N6" s="98"/>
      <c r="O6" s="98"/>
      <c r="P6" s="98"/>
      <c r="Q6" s="98"/>
      <c r="R6"/>
    </row>
    <row r="7" spans="2:18" x14ac:dyDescent="0.2">
      <c r="B7" s="7" t="s">
        <v>77</v>
      </c>
      <c r="D7" s="80"/>
      <c r="E7" s="79"/>
      <c r="F7" s="88"/>
      <c r="G7" s="241"/>
      <c r="H7" s="240"/>
      <c r="I7" s="90"/>
      <c r="J7" s="105"/>
      <c r="K7" s="92"/>
      <c r="L7" s="92"/>
      <c r="M7" s="106"/>
      <c r="N7" s="107"/>
      <c r="O7" s="107"/>
      <c r="P7" s="107"/>
      <c r="Q7" s="107"/>
      <c r="R7"/>
    </row>
    <row r="8" spans="2:18" x14ac:dyDescent="0.2">
      <c r="B8" s="8"/>
      <c r="C8" s="79"/>
      <c r="D8" s="80"/>
      <c r="E8" s="79"/>
      <c r="F8" s="88"/>
      <c r="G8" s="240"/>
      <c r="H8" s="240"/>
      <c r="I8" s="90"/>
      <c r="J8" s="108"/>
      <c r="K8" s="92"/>
      <c r="L8" s="109"/>
      <c r="M8" s="93"/>
      <c r="N8"/>
      <c r="O8"/>
      <c r="P8"/>
      <c r="Q8"/>
      <c r="R8" s="99"/>
    </row>
    <row r="9" spans="2:18" x14ac:dyDescent="0.2">
      <c r="B9" s="110"/>
      <c r="C9" s="79"/>
      <c r="D9" s="80"/>
      <c r="E9" s="79"/>
      <c r="F9" s="88"/>
      <c r="I9" s="111"/>
      <c r="L9" s="112"/>
      <c r="M9" s="93"/>
      <c r="N9"/>
      <c r="O9"/>
      <c r="P9"/>
      <c r="Q9"/>
      <c r="R9" s="99"/>
    </row>
    <row r="10" spans="2:18" ht="13.5" thickBot="1" x14ac:dyDescent="0.25">
      <c r="B10" s="7"/>
      <c r="D10"/>
      <c r="E10" s="113"/>
      <c r="F10" s="114"/>
      <c r="G10" s="115"/>
      <c r="H10" s="116"/>
      <c r="I10" s="117"/>
      <c r="J10" s="118"/>
      <c r="K10" s="118"/>
      <c r="L10" s="119"/>
      <c r="M10" s="120"/>
      <c r="R10" s="121"/>
    </row>
    <row r="11" spans="2:18" x14ac:dyDescent="0.2">
      <c r="B11" s="122"/>
      <c r="E11" s="113"/>
      <c r="L11" s="123"/>
      <c r="M11"/>
      <c r="N11"/>
      <c r="O11"/>
      <c r="P11"/>
      <c r="Q11"/>
      <c r="R11" s="99"/>
    </row>
    <row r="12" spans="2:18" x14ac:dyDescent="0.2">
      <c r="E12" s="113"/>
      <c r="L12" s="123"/>
      <c r="R12" s="124" t="s">
        <v>60</v>
      </c>
    </row>
    <row r="13" spans="2:18" x14ac:dyDescent="0.2">
      <c r="E13" s="113"/>
      <c r="F13" s="125"/>
      <c r="G13" s="126"/>
      <c r="H13" s="126"/>
      <c r="I13" s="127" t="s">
        <v>58</v>
      </c>
      <c r="J13" s="128">
        <f t="shared" ref="J13:R13" si="0">SUM(J56:J211)</f>
        <v>29196487.73000003</v>
      </c>
      <c r="K13" s="128">
        <f t="shared" si="0"/>
        <v>31204728.109999985</v>
      </c>
      <c r="L13" s="129">
        <f t="shared" si="0"/>
        <v>-2008240.3799999941</v>
      </c>
      <c r="M13" s="130">
        <f t="shared" si="0"/>
        <v>155328.90929367577</v>
      </c>
      <c r="N13" s="128">
        <f t="shared" si="0"/>
        <v>-1852911.4707063197</v>
      </c>
      <c r="O13" s="128">
        <f t="shared" si="0"/>
        <v>0</v>
      </c>
      <c r="P13" s="128">
        <f t="shared" si="0"/>
        <v>0</v>
      </c>
      <c r="Q13" s="128">
        <f t="shared" si="0"/>
        <v>0</v>
      </c>
      <c r="R13" s="129">
        <f t="shared" si="0"/>
        <v>-1852911.4707063197</v>
      </c>
    </row>
    <row r="14" spans="2:18" x14ac:dyDescent="0.2">
      <c r="E14" s="113"/>
      <c r="F14" s="131"/>
      <c r="G14" s="131"/>
      <c r="H14" s="131"/>
      <c r="I14" s="132" t="s">
        <v>59</v>
      </c>
      <c r="J14" s="128">
        <f>SUM(J20:J211)</f>
        <v>109992518.42999992</v>
      </c>
      <c r="K14" s="128">
        <f>SUM(K20:K211)</f>
        <v>117558203.00999995</v>
      </c>
      <c r="L14" s="129">
        <f>SUM(L20:L211)</f>
        <v>-7565684.5799999749</v>
      </c>
      <c r="M14" s="184">
        <v>585173.73994410969</v>
      </c>
      <c r="N14" s="128">
        <f>SUM(N20:N211)</f>
        <v>-6980510.8400558764</v>
      </c>
      <c r="O14" s="128">
        <f>SUM(O20:O211)</f>
        <v>0</v>
      </c>
      <c r="P14" s="128">
        <f>SUM(P20:P211)</f>
        <v>0</v>
      </c>
      <c r="Q14" s="128">
        <f>SUM(Q20:Q211)</f>
        <v>0</v>
      </c>
      <c r="R14" s="129">
        <f>SUM(R20:R211)</f>
        <v>-6980510.8400558764</v>
      </c>
    </row>
    <row r="15" spans="2:18" x14ac:dyDescent="0.2">
      <c r="B15" s="133" t="s">
        <v>82</v>
      </c>
      <c r="E15" s="113"/>
      <c r="J15" s="45"/>
      <c r="L15" s="214"/>
      <c r="M15" s="134"/>
      <c r="N15" s="134"/>
      <c r="O15" s="134"/>
      <c r="P15" s="134"/>
      <c r="Q15" s="134"/>
      <c r="R15" s="135" t="s">
        <v>20</v>
      </c>
    </row>
    <row r="16" spans="2:18" x14ac:dyDescent="0.2">
      <c r="B16" s="136" t="str">
        <f>"** Actual Trued-Up CY"&amp;R1&amp;" Charge reflects "&amp;R1&amp;" True-UP Rate x MW"</f>
        <v>** Actual Trued-Up CY2025 Charge reflects 2025 True-UP Rate x MW</v>
      </c>
      <c r="E16" s="113"/>
      <c r="G16" s="3"/>
      <c r="J16" s="137"/>
      <c r="L16" s="138" t="s">
        <v>11</v>
      </c>
      <c r="M16" s="134"/>
      <c r="N16" s="134"/>
      <c r="O16" s="134"/>
      <c r="P16" s="134"/>
      <c r="Q16" s="134"/>
      <c r="R16" s="139"/>
    </row>
    <row r="17" spans="1:18" x14ac:dyDescent="0.2">
      <c r="B17" s="140" t="s">
        <v>62</v>
      </c>
      <c r="E17" s="113"/>
      <c r="I17" s="141"/>
      <c r="J17" s="142"/>
      <c r="K17" s="141"/>
      <c r="L17" s="141"/>
      <c r="M17" s="141"/>
      <c r="N17" s="141"/>
      <c r="O17" s="141"/>
      <c r="P17" s="141"/>
      <c r="Q17" s="141"/>
      <c r="R17" s="143"/>
    </row>
    <row r="18" spans="1:18" ht="3.6" customHeight="1" x14ac:dyDescent="0.2">
      <c r="I18" s="144"/>
      <c r="J18" s="142"/>
      <c r="K18" s="144"/>
      <c r="L18" s="144"/>
      <c r="M18" s="145"/>
      <c r="N18" s="145"/>
      <c r="O18" s="145"/>
      <c r="P18" s="145"/>
      <c r="Q18" s="145"/>
      <c r="R18" s="146"/>
    </row>
    <row r="19" spans="1:18" ht="38.25" customHeight="1" x14ac:dyDescent="0.2">
      <c r="B19" s="147" t="s">
        <v>53</v>
      </c>
      <c r="C19" s="191" t="s">
        <v>4</v>
      </c>
      <c r="D19" s="191" t="s">
        <v>5</v>
      </c>
      <c r="E19" s="192" t="s">
        <v>0</v>
      </c>
      <c r="F19" s="193" t="s">
        <v>12</v>
      </c>
      <c r="G19" s="194" t="s">
        <v>1</v>
      </c>
      <c r="H19" s="148" t="s">
        <v>48</v>
      </c>
      <c r="I19" s="148" t="s">
        <v>46</v>
      </c>
      <c r="J19" s="149" t="str">
        <f>"True-Up Charge"</f>
        <v>True-Up Charge</v>
      </c>
      <c r="K19" s="149" t="s">
        <v>47</v>
      </c>
      <c r="L19" s="150" t="s">
        <v>3</v>
      </c>
      <c r="M19" s="151" t="s">
        <v>7</v>
      </c>
      <c r="N19" s="152" t="s">
        <v>98</v>
      </c>
      <c r="O19" s="152" t="s">
        <v>84</v>
      </c>
      <c r="P19" s="152" t="s">
        <v>85</v>
      </c>
      <c r="Q19" s="152" t="s">
        <v>86</v>
      </c>
      <c r="R19" s="153" t="s">
        <v>2</v>
      </c>
    </row>
    <row r="20" spans="1:18" ht="12.75" customHeight="1" x14ac:dyDescent="0.2">
      <c r="A20" s="89">
        <v>1</v>
      </c>
      <c r="B20" s="154">
        <f>DATE($R$1,A20,1)</f>
        <v>45658</v>
      </c>
      <c r="C20" s="187">
        <v>45693</v>
      </c>
      <c r="D20" s="187">
        <v>45712</v>
      </c>
      <c r="E20" s="155" t="s">
        <v>21</v>
      </c>
      <c r="F20" s="89">
        <v>9</v>
      </c>
      <c r="G20" s="156">
        <v>2941</v>
      </c>
      <c r="H20" s="157">
        <f>+$K$3</f>
        <v>1110.3699999999999</v>
      </c>
      <c r="I20" s="157">
        <f t="shared" ref="I20:I63" si="1">$J$3</f>
        <v>1038.9100000000001</v>
      </c>
      <c r="J20" s="108">
        <f t="shared" ref="J20:J108" si="2">+$G20*I20</f>
        <v>3055434.31</v>
      </c>
      <c r="K20" s="158">
        <f>+$G20*H20</f>
        <v>3265598.1699999995</v>
      </c>
      <c r="L20" s="159">
        <f t="shared" ref="L20:L34" si="3">+J20-K20</f>
        <v>-210163.8599999994</v>
      </c>
      <c r="M20" s="108">
        <f>G20/$G$212*$M$14</f>
        <v>16255.286703650852</v>
      </c>
      <c r="N20" s="160">
        <f>SUM(L20:M20)</f>
        <v>-193908.57329634856</v>
      </c>
      <c r="O20" s="108">
        <v>0</v>
      </c>
      <c r="P20" s="108">
        <v>0</v>
      </c>
      <c r="Q20" s="108">
        <v>0</v>
      </c>
      <c r="R20" s="160">
        <f>+N20-Q20</f>
        <v>-193908.57329634856</v>
      </c>
    </row>
    <row r="21" spans="1:18" x14ac:dyDescent="0.2">
      <c r="A21" s="89">
        <v>2</v>
      </c>
      <c r="B21" s="154">
        <f t="shared" ref="B21:B108" si="4">DATE($R$1,A21,1)</f>
        <v>45689</v>
      </c>
      <c r="C21" s="187">
        <v>45721</v>
      </c>
      <c r="D21" s="187">
        <v>45740</v>
      </c>
      <c r="E21" s="161" t="s">
        <v>21</v>
      </c>
      <c r="F21" s="89">
        <v>9</v>
      </c>
      <c r="G21" s="156">
        <v>3221</v>
      </c>
      <c r="H21" s="157">
        <f t="shared" ref="H21:H84" si="5">+$K$3</f>
        <v>1110.3699999999999</v>
      </c>
      <c r="I21" s="157">
        <f t="shared" si="1"/>
        <v>1038.9100000000001</v>
      </c>
      <c r="J21" s="108">
        <f t="shared" si="2"/>
        <v>3346329.1100000003</v>
      </c>
      <c r="K21" s="158">
        <f t="shared" ref="K21:K33" si="6">+$G21*H21</f>
        <v>3576501.7699999996</v>
      </c>
      <c r="L21" s="159">
        <f t="shared" si="3"/>
        <v>-230172.65999999922</v>
      </c>
      <c r="M21" s="108">
        <f t="shared" ref="M21:M84" si="7">G21/$G$212*$M$14</f>
        <v>17802.882853607411</v>
      </c>
      <c r="N21" s="160">
        <f t="shared" ref="N21:N84" si="8">SUM(L21:M21)</f>
        <v>-212369.7771463918</v>
      </c>
      <c r="O21" s="108">
        <v>0</v>
      </c>
      <c r="P21" s="108">
        <v>0</v>
      </c>
      <c r="Q21" s="108">
        <v>0</v>
      </c>
      <c r="R21" s="160">
        <f t="shared" ref="R21:R84" si="9">+N21-Q21</f>
        <v>-212369.7771463918</v>
      </c>
    </row>
    <row r="22" spans="1:18" x14ac:dyDescent="0.2">
      <c r="A22" s="89">
        <v>3</v>
      </c>
      <c r="B22" s="154">
        <f t="shared" si="4"/>
        <v>45717</v>
      </c>
      <c r="C22" s="187">
        <v>45750</v>
      </c>
      <c r="D22" s="187">
        <v>45771</v>
      </c>
      <c r="E22" s="161" t="s">
        <v>21</v>
      </c>
      <c r="F22" s="89">
        <v>9</v>
      </c>
      <c r="G22" s="156">
        <v>2419</v>
      </c>
      <c r="H22" s="157">
        <f t="shared" si="5"/>
        <v>1110.3699999999999</v>
      </c>
      <c r="I22" s="157">
        <f t="shared" si="1"/>
        <v>1038.9100000000001</v>
      </c>
      <c r="J22" s="108">
        <f t="shared" si="2"/>
        <v>2513123.29</v>
      </c>
      <c r="K22" s="158">
        <f t="shared" si="6"/>
        <v>2685985.03</v>
      </c>
      <c r="L22" s="159">
        <f t="shared" si="3"/>
        <v>-172861.73999999976</v>
      </c>
      <c r="M22" s="108">
        <f t="shared" si="7"/>
        <v>13370.125309803268</v>
      </c>
      <c r="N22" s="160">
        <f t="shared" si="8"/>
        <v>-159491.6146901965</v>
      </c>
      <c r="O22" s="108">
        <v>0</v>
      </c>
      <c r="P22" s="108">
        <v>0</v>
      </c>
      <c r="Q22" s="108">
        <v>0</v>
      </c>
      <c r="R22" s="160">
        <f t="shared" si="9"/>
        <v>-159491.6146901965</v>
      </c>
    </row>
    <row r="23" spans="1:18" x14ac:dyDescent="0.2">
      <c r="A23" s="89">
        <v>4</v>
      </c>
      <c r="B23" s="154">
        <f t="shared" si="4"/>
        <v>45748</v>
      </c>
      <c r="C23" s="187">
        <v>45782</v>
      </c>
      <c r="D23" s="187">
        <v>45803</v>
      </c>
      <c r="E23" s="161" t="s">
        <v>21</v>
      </c>
      <c r="F23" s="89">
        <v>9</v>
      </c>
      <c r="G23" s="156">
        <v>2717</v>
      </c>
      <c r="H23" s="157">
        <f t="shared" si="5"/>
        <v>1110.3699999999999</v>
      </c>
      <c r="I23" s="157">
        <f t="shared" si="1"/>
        <v>1038.9100000000001</v>
      </c>
      <c r="J23" s="108">
        <f t="shared" si="2"/>
        <v>2822718.47</v>
      </c>
      <c r="K23" s="158">
        <f t="shared" si="6"/>
        <v>3016875.2899999996</v>
      </c>
      <c r="L23" s="159">
        <f t="shared" si="3"/>
        <v>-194156.81999999937</v>
      </c>
      <c r="M23" s="108">
        <f t="shared" si="7"/>
        <v>15017.209783685605</v>
      </c>
      <c r="N23" s="160">
        <f t="shared" si="8"/>
        <v>-179139.61021631377</v>
      </c>
      <c r="O23" s="108">
        <v>0</v>
      </c>
      <c r="P23" s="108">
        <v>0</v>
      </c>
      <c r="Q23" s="108">
        <v>0</v>
      </c>
      <c r="R23" s="160">
        <f t="shared" si="9"/>
        <v>-179139.61021631377</v>
      </c>
    </row>
    <row r="24" spans="1:18" ht="12" customHeight="1" x14ac:dyDescent="0.2">
      <c r="A24" s="89">
        <v>5</v>
      </c>
      <c r="B24" s="154">
        <f t="shared" si="4"/>
        <v>45778</v>
      </c>
      <c r="C24" s="187">
        <v>45812</v>
      </c>
      <c r="D24" s="187">
        <v>45832</v>
      </c>
      <c r="E24" s="1" t="s">
        <v>21</v>
      </c>
      <c r="F24" s="89">
        <v>9</v>
      </c>
      <c r="G24" s="156">
        <v>3378</v>
      </c>
      <c r="H24" s="157">
        <f t="shared" si="5"/>
        <v>1110.3699999999999</v>
      </c>
      <c r="I24" s="157">
        <f t="shared" si="1"/>
        <v>1038.9100000000001</v>
      </c>
      <c r="J24" s="108">
        <f t="shared" si="2"/>
        <v>3509437.9800000004</v>
      </c>
      <c r="K24" s="158">
        <f t="shared" si="6"/>
        <v>3750829.8599999994</v>
      </c>
      <c r="L24" s="159">
        <f t="shared" si="3"/>
        <v>-241391.87999999896</v>
      </c>
      <c r="M24" s="108">
        <f t="shared" si="7"/>
        <v>18670.642123404479</v>
      </c>
      <c r="N24" s="160">
        <f t="shared" si="8"/>
        <v>-222721.23787659447</v>
      </c>
      <c r="O24" s="108">
        <v>0</v>
      </c>
      <c r="P24" s="108">
        <v>0</v>
      </c>
      <c r="Q24" s="108">
        <v>0</v>
      </c>
      <c r="R24" s="160">
        <f t="shared" si="9"/>
        <v>-222721.23787659447</v>
      </c>
    </row>
    <row r="25" spans="1:18" x14ac:dyDescent="0.2">
      <c r="A25" s="89">
        <v>6</v>
      </c>
      <c r="B25" s="154">
        <f t="shared" si="4"/>
        <v>45809</v>
      </c>
      <c r="C25" s="187">
        <v>45841</v>
      </c>
      <c r="D25" s="187">
        <v>45862</v>
      </c>
      <c r="E25" s="1" t="s">
        <v>21</v>
      </c>
      <c r="F25" s="89">
        <v>9</v>
      </c>
      <c r="G25" s="156">
        <v>3824</v>
      </c>
      <c r="H25" s="157">
        <f t="shared" si="5"/>
        <v>1110.3699999999999</v>
      </c>
      <c r="I25" s="157">
        <f t="shared" si="1"/>
        <v>1038.9100000000001</v>
      </c>
      <c r="J25" s="108">
        <f t="shared" si="2"/>
        <v>3972791.8400000003</v>
      </c>
      <c r="K25" s="158">
        <f t="shared" si="6"/>
        <v>4246054.88</v>
      </c>
      <c r="L25" s="159">
        <f t="shared" si="3"/>
        <v>-273263.03999999957</v>
      </c>
      <c r="M25" s="108">
        <f t="shared" si="7"/>
        <v>21135.741705121</v>
      </c>
      <c r="N25" s="160">
        <f t="shared" si="8"/>
        <v>-252127.29829487856</v>
      </c>
      <c r="O25" s="108">
        <v>0</v>
      </c>
      <c r="P25" s="108">
        <v>0</v>
      </c>
      <c r="Q25" s="108">
        <v>0</v>
      </c>
      <c r="R25" s="160">
        <f t="shared" si="9"/>
        <v>-252127.29829487856</v>
      </c>
    </row>
    <row r="26" spans="1:18" x14ac:dyDescent="0.2">
      <c r="A26" s="89">
        <v>7</v>
      </c>
      <c r="B26" s="154">
        <f t="shared" si="4"/>
        <v>45839</v>
      </c>
      <c r="C26" s="187">
        <v>45874</v>
      </c>
      <c r="D26" s="187">
        <v>45894</v>
      </c>
      <c r="E26" s="1" t="s">
        <v>21</v>
      </c>
      <c r="F26" s="89">
        <v>9</v>
      </c>
      <c r="G26" s="156">
        <v>4110</v>
      </c>
      <c r="H26" s="157">
        <f t="shared" si="5"/>
        <v>1110.3699999999999</v>
      </c>
      <c r="I26" s="157">
        <f t="shared" si="1"/>
        <v>1038.9100000000001</v>
      </c>
      <c r="J26" s="108">
        <f t="shared" si="2"/>
        <v>4269920.1000000006</v>
      </c>
      <c r="K26" s="158">
        <f t="shared" si="6"/>
        <v>4563620.6999999993</v>
      </c>
      <c r="L26" s="159">
        <f t="shared" si="3"/>
        <v>-293700.5999999987</v>
      </c>
      <c r="M26" s="108">
        <f t="shared" si="7"/>
        <v>22716.500629719481</v>
      </c>
      <c r="N26" s="160">
        <f t="shared" si="8"/>
        <v>-270984.09937027923</v>
      </c>
      <c r="O26" s="108">
        <v>0</v>
      </c>
      <c r="P26" s="108">
        <v>0</v>
      </c>
      <c r="Q26" s="108">
        <v>0</v>
      </c>
      <c r="R26" s="160">
        <f t="shared" si="9"/>
        <v>-270984.09937027923</v>
      </c>
    </row>
    <row r="27" spans="1:18" x14ac:dyDescent="0.2">
      <c r="A27" s="89">
        <v>8</v>
      </c>
      <c r="B27" s="154">
        <f t="shared" si="4"/>
        <v>45870</v>
      </c>
      <c r="C27" s="187">
        <v>45904</v>
      </c>
      <c r="D27" s="187">
        <v>45924</v>
      </c>
      <c r="E27" s="1" t="s">
        <v>21</v>
      </c>
      <c r="F27" s="89">
        <v>9</v>
      </c>
      <c r="G27" s="156">
        <v>4096</v>
      </c>
      <c r="H27" s="157">
        <f t="shared" si="5"/>
        <v>1110.3699999999999</v>
      </c>
      <c r="I27" s="157">
        <f t="shared" si="1"/>
        <v>1038.9100000000001</v>
      </c>
      <c r="J27" s="108">
        <f t="shared" si="2"/>
        <v>4255375.3600000003</v>
      </c>
      <c r="K27" s="158">
        <f t="shared" si="6"/>
        <v>4548075.5199999996</v>
      </c>
      <c r="L27" s="159">
        <f t="shared" si="3"/>
        <v>-292700.15999999922</v>
      </c>
      <c r="M27" s="108">
        <f t="shared" si="7"/>
        <v>22639.120822221652</v>
      </c>
      <c r="N27" s="160">
        <f t="shared" si="8"/>
        <v>-270061.03917777759</v>
      </c>
      <c r="O27" s="108">
        <v>0</v>
      </c>
      <c r="P27" s="108">
        <v>0</v>
      </c>
      <c r="Q27" s="108">
        <v>0</v>
      </c>
      <c r="R27" s="160">
        <f t="shared" si="9"/>
        <v>-270061.03917777759</v>
      </c>
    </row>
    <row r="28" spans="1:18" x14ac:dyDescent="0.2">
      <c r="A28" s="89">
        <v>9</v>
      </c>
      <c r="B28" s="154">
        <f t="shared" si="4"/>
        <v>45901</v>
      </c>
      <c r="C28" s="187">
        <v>45933</v>
      </c>
      <c r="D28" s="187">
        <v>45954</v>
      </c>
      <c r="E28" s="1" t="s">
        <v>21</v>
      </c>
      <c r="F28" s="89">
        <v>9</v>
      </c>
      <c r="G28" s="156">
        <v>3657</v>
      </c>
      <c r="H28" s="157">
        <f t="shared" si="5"/>
        <v>1110.3699999999999</v>
      </c>
      <c r="I28" s="157">
        <f t="shared" si="1"/>
        <v>1038.9100000000001</v>
      </c>
      <c r="J28" s="108">
        <f t="shared" si="2"/>
        <v>3799293.87</v>
      </c>
      <c r="K28" s="158">
        <f t="shared" si="6"/>
        <v>4060623.0899999994</v>
      </c>
      <c r="L28" s="159">
        <f t="shared" si="3"/>
        <v>-261329.21999999927</v>
      </c>
      <c r="M28" s="108">
        <f t="shared" si="7"/>
        <v>20212.711144254052</v>
      </c>
      <c r="N28" s="160">
        <f t="shared" si="8"/>
        <v>-241116.50885574523</v>
      </c>
      <c r="O28" s="108">
        <v>0</v>
      </c>
      <c r="P28" s="108">
        <v>0</v>
      </c>
      <c r="Q28" s="108">
        <v>0</v>
      </c>
      <c r="R28" s="160">
        <f t="shared" si="9"/>
        <v>-241116.50885574523</v>
      </c>
    </row>
    <row r="29" spans="1:18" x14ac:dyDescent="0.2">
      <c r="A29" s="89">
        <v>10</v>
      </c>
      <c r="B29" s="154">
        <f t="shared" si="4"/>
        <v>45931</v>
      </c>
      <c r="C29" s="187">
        <v>45966</v>
      </c>
      <c r="D29" s="187">
        <v>45985</v>
      </c>
      <c r="E29" s="1" t="s">
        <v>21</v>
      </c>
      <c r="F29" s="89">
        <v>9</v>
      </c>
      <c r="G29" s="156">
        <v>3261</v>
      </c>
      <c r="H29" s="157">
        <f t="shared" si="5"/>
        <v>1110.3699999999999</v>
      </c>
      <c r="I29" s="157">
        <f t="shared" si="1"/>
        <v>1038.9100000000001</v>
      </c>
      <c r="J29" s="108">
        <f t="shared" si="2"/>
        <v>3387885.5100000002</v>
      </c>
      <c r="K29" s="158">
        <f t="shared" si="6"/>
        <v>3620916.57</v>
      </c>
      <c r="L29" s="159">
        <f t="shared" si="3"/>
        <v>-233031.05999999959</v>
      </c>
      <c r="M29" s="108">
        <f t="shared" si="7"/>
        <v>18023.968017886917</v>
      </c>
      <c r="N29" s="160">
        <f t="shared" si="8"/>
        <v>-215007.09198211267</v>
      </c>
      <c r="O29" s="108">
        <v>0</v>
      </c>
      <c r="P29" s="108">
        <v>0</v>
      </c>
      <c r="Q29" s="108">
        <v>0</v>
      </c>
      <c r="R29" s="160">
        <f t="shared" si="9"/>
        <v>-215007.09198211267</v>
      </c>
    </row>
    <row r="30" spans="1:18" x14ac:dyDescent="0.2">
      <c r="A30" s="89">
        <v>11</v>
      </c>
      <c r="B30" s="154">
        <f t="shared" si="4"/>
        <v>45962</v>
      </c>
      <c r="C30" s="187">
        <v>45994</v>
      </c>
      <c r="D30" s="187">
        <v>46015</v>
      </c>
      <c r="E30" s="1" t="s">
        <v>21</v>
      </c>
      <c r="F30" s="89">
        <v>9</v>
      </c>
      <c r="G30" s="156">
        <v>2449</v>
      </c>
      <c r="H30" s="157">
        <f t="shared" si="5"/>
        <v>1110.3699999999999</v>
      </c>
      <c r="I30" s="157">
        <f t="shared" si="1"/>
        <v>1038.9100000000001</v>
      </c>
      <c r="J30" s="108">
        <f t="shared" si="2"/>
        <v>2544290.5900000003</v>
      </c>
      <c r="K30" s="158">
        <f t="shared" si="6"/>
        <v>2719296.13</v>
      </c>
      <c r="L30" s="159">
        <f t="shared" si="3"/>
        <v>-175005.53999999957</v>
      </c>
      <c r="M30" s="108">
        <f t="shared" si="7"/>
        <v>13535.939183012899</v>
      </c>
      <c r="N30" s="160">
        <f t="shared" si="8"/>
        <v>-161469.60081698667</v>
      </c>
      <c r="O30" s="108">
        <v>0</v>
      </c>
      <c r="P30" s="108">
        <v>0</v>
      </c>
      <c r="Q30" s="108">
        <v>0</v>
      </c>
      <c r="R30" s="160">
        <f t="shared" si="9"/>
        <v>-161469.60081698667</v>
      </c>
    </row>
    <row r="31" spans="1:18" x14ac:dyDescent="0.2">
      <c r="A31" s="89">
        <v>12</v>
      </c>
      <c r="B31" s="154">
        <f t="shared" si="4"/>
        <v>45992</v>
      </c>
      <c r="C31" s="188">
        <v>46028</v>
      </c>
      <c r="D31" s="189">
        <v>46048</v>
      </c>
      <c r="E31" s="1" t="s">
        <v>21</v>
      </c>
      <c r="F31" s="89">
        <v>9</v>
      </c>
      <c r="G31" s="162">
        <v>2817</v>
      </c>
      <c r="H31" s="163">
        <f t="shared" si="5"/>
        <v>1110.3699999999999</v>
      </c>
      <c r="I31" s="163">
        <f t="shared" si="1"/>
        <v>1038.9100000000001</v>
      </c>
      <c r="J31" s="164">
        <f t="shared" si="2"/>
        <v>2926609.47</v>
      </c>
      <c r="K31" s="165">
        <f t="shared" si="6"/>
        <v>3127912.2899999996</v>
      </c>
      <c r="L31" s="166">
        <f t="shared" si="3"/>
        <v>-201302.81999999937</v>
      </c>
      <c r="M31" s="164">
        <f t="shared" si="7"/>
        <v>15569.922694384375</v>
      </c>
      <c r="N31" s="185">
        <f t="shared" si="8"/>
        <v>-185732.89730561498</v>
      </c>
      <c r="O31" s="164">
        <v>0</v>
      </c>
      <c r="P31" s="164">
        <v>0</v>
      </c>
      <c r="Q31" s="164">
        <v>0</v>
      </c>
      <c r="R31" s="185">
        <f t="shared" si="9"/>
        <v>-185732.89730561498</v>
      </c>
    </row>
    <row r="32" spans="1:18" x14ac:dyDescent="0.2">
      <c r="A32" s="89">
        <v>1</v>
      </c>
      <c r="B32" s="167">
        <f t="shared" si="4"/>
        <v>45658</v>
      </c>
      <c r="C32" s="168">
        <f t="shared" ref="C32:D43" si="10">+C20</f>
        <v>45693</v>
      </c>
      <c r="D32" s="168">
        <f t="shared" si="10"/>
        <v>45712</v>
      </c>
      <c r="E32" s="169" t="s">
        <v>22</v>
      </c>
      <c r="F32" s="170">
        <v>9</v>
      </c>
      <c r="G32" s="156">
        <v>3414</v>
      </c>
      <c r="H32" s="157">
        <f t="shared" si="5"/>
        <v>1110.3699999999999</v>
      </c>
      <c r="I32" s="157">
        <f t="shared" si="1"/>
        <v>1038.9100000000001</v>
      </c>
      <c r="J32" s="108">
        <f t="shared" si="2"/>
        <v>3546838.74</v>
      </c>
      <c r="K32" s="158">
        <f t="shared" si="6"/>
        <v>3790803.1799999997</v>
      </c>
      <c r="L32" s="159">
        <f t="shared" si="3"/>
        <v>-243964.43999999948</v>
      </c>
      <c r="M32" s="108">
        <f t="shared" si="7"/>
        <v>18869.618771256039</v>
      </c>
      <c r="N32" s="160">
        <f t="shared" si="8"/>
        <v>-225094.82122874344</v>
      </c>
      <c r="O32" s="108">
        <v>0</v>
      </c>
      <c r="P32" s="108">
        <v>0</v>
      </c>
      <c r="Q32" s="108">
        <v>0</v>
      </c>
      <c r="R32" s="160">
        <f t="shared" si="9"/>
        <v>-225094.82122874344</v>
      </c>
    </row>
    <row r="33" spans="1:18" x14ac:dyDescent="0.2">
      <c r="A33" s="89">
        <v>2</v>
      </c>
      <c r="B33" s="154">
        <f t="shared" si="4"/>
        <v>45689</v>
      </c>
      <c r="C33" s="171">
        <f t="shared" si="10"/>
        <v>45721</v>
      </c>
      <c r="D33" s="171">
        <f t="shared" si="10"/>
        <v>45740</v>
      </c>
      <c r="E33" s="161" t="s">
        <v>22</v>
      </c>
      <c r="F33" s="89">
        <v>9</v>
      </c>
      <c r="G33" s="156">
        <v>3330</v>
      </c>
      <c r="H33" s="157">
        <f t="shared" si="5"/>
        <v>1110.3699999999999</v>
      </c>
      <c r="I33" s="157">
        <f t="shared" si="1"/>
        <v>1038.9100000000001</v>
      </c>
      <c r="J33" s="108">
        <f t="shared" si="2"/>
        <v>3459570.3000000003</v>
      </c>
      <c r="K33" s="158">
        <f t="shared" si="6"/>
        <v>3697532.0999999996</v>
      </c>
      <c r="L33" s="159">
        <f t="shared" si="3"/>
        <v>-237961.79999999935</v>
      </c>
      <c r="M33" s="108">
        <f t="shared" si="7"/>
        <v>18405.339926269069</v>
      </c>
      <c r="N33" s="160">
        <f t="shared" si="8"/>
        <v>-219556.46007373027</v>
      </c>
      <c r="O33" s="108">
        <v>0</v>
      </c>
      <c r="P33" s="108">
        <v>0</v>
      </c>
      <c r="Q33" s="108">
        <v>0</v>
      </c>
      <c r="R33" s="160">
        <f t="shared" si="9"/>
        <v>-219556.46007373027</v>
      </c>
    </row>
    <row r="34" spans="1:18" x14ac:dyDescent="0.2">
      <c r="A34" s="89">
        <v>3</v>
      </c>
      <c r="B34" s="154">
        <f t="shared" si="4"/>
        <v>45717</v>
      </c>
      <c r="C34" s="171">
        <f t="shared" si="10"/>
        <v>45750</v>
      </c>
      <c r="D34" s="171">
        <f t="shared" si="10"/>
        <v>45771</v>
      </c>
      <c r="E34" s="161" t="s">
        <v>22</v>
      </c>
      <c r="F34" s="89">
        <v>9</v>
      </c>
      <c r="G34" s="156">
        <v>2483</v>
      </c>
      <c r="H34" s="157">
        <f t="shared" si="5"/>
        <v>1110.3699999999999</v>
      </c>
      <c r="I34" s="157">
        <f t="shared" si="1"/>
        <v>1038.9100000000001</v>
      </c>
      <c r="J34" s="108">
        <f t="shared" si="2"/>
        <v>2579613.5300000003</v>
      </c>
      <c r="K34" s="158">
        <f t="shared" ref="K34:K93" si="11">+$G34*H34</f>
        <v>2757048.7099999995</v>
      </c>
      <c r="L34" s="159">
        <f t="shared" si="3"/>
        <v>-177435.17999999924</v>
      </c>
      <c r="M34" s="108">
        <f t="shared" si="7"/>
        <v>13723.861572650481</v>
      </c>
      <c r="N34" s="160">
        <f t="shared" si="8"/>
        <v>-163711.31842734874</v>
      </c>
      <c r="O34" s="108">
        <v>0</v>
      </c>
      <c r="P34" s="108">
        <v>0</v>
      </c>
      <c r="Q34" s="108">
        <v>0</v>
      </c>
      <c r="R34" s="160">
        <f t="shared" si="9"/>
        <v>-163711.31842734874</v>
      </c>
    </row>
    <row r="35" spans="1:18" x14ac:dyDescent="0.2">
      <c r="A35" s="89">
        <v>4</v>
      </c>
      <c r="B35" s="154">
        <f t="shared" si="4"/>
        <v>45748</v>
      </c>
      <c r="C35" s="171">
        <f t="shared" si="10"/>
        <v>45782</v>
      </c>
      <c r="D35" s="171">
        <f t="shared" si="10"/>
        <v>45803</v>
      </c>
      <c r="E35" s="161" t="s">
        <v>22</v>
      </c>
      <c r="F35" s="89">
        <v>9</v>
      </c>
      <c r="G35" s="156">
        <v>2549</v>
      </c>
      <c r="H35" s="157">
        <f t="shared" si="5"/>
        <v>1110.3699999999999</v>
      </c>
      <c r="I35" s="157">
        <f t="shared" si="1"/>
        <v>1038.9100000000001</v>
      </c>
      <c r="J35" s="108">
        <f t="shared" si="2"/>
        <v>2648181.5900000003</v>
      </c>
      <c r="K35" s="158">
        <f t="shared" si="11"/>
        <v>2830333.13</v>
      </c>
      <c r="L35" s="159">
        <f t="shared" ref="L35:L57" si="12">+J35-K35</f>
        <v>-182151.53999999957</v>
      </c>
      <c r="M35" s="108">
        <f t="shared" si="7"/>
        <v>14088.652093711669</v>
      </c>
      <c r="N35" s="160">
        <f t="shared" si="8"/>
        <v>-168062.88790628791</v>
      </c>
      <c r="O35" s="108">
        <v>0</v>
      </c>
      <c r="P35" s="108">
        <v>0</v>
      </c>
      <c r="Q35" s="108">
        <v>0</v>
      </c>
      <c r="R35" s="160">
        <f t="shared" si="9"/>
        <v>-168062.88790628791</v>
      </c>
    </row>
    <row r="36" spans="1:18" x14ac:dyDescent="0.2">
      <c r="A36" s="89">
        <v>5</v>
      </c>
      <c r="B36" s="154">
        <f t="shared" si="4"/>
        <v>45778</v>
      </c>
      <c r="C36" s="171">
        <f t="shared" si="10"/>
        <v>45812</v>
      </c>
      <c r="D36" s="171">
        <f t="shared" si="10"/>
        <v>45832</v>
      </c>
      <c r="E36" s="1" t="s">
        <v>22</v>
      </c>
      <c r="F36" s="89">
        <v>9</v>
      </c>
      <c r="G36" s="156">
        <v>3007</v>
      </c>
      <c r="H36" s="157">
        <f t="shared" si="5"/>
        <v>1110.3699999999999</v>
      </c>
      <c r="I36" s="157">
        <f t="shared" si="1"/>
        <v>1038.9100000000001</v>
      </c>
      <c r="J36" s="108">
        <f t="shared" si="2"/>
        <v>3124002.37</v>
      </c>
      <c r="K36" s="158">
        <f t="shared" si="11"/>
        <v>3338882.59</v>
      </c>
      <c r="L36" s="159">
        <f t="shared" si="12"/>
        <v>-214880.21999999974</v>
      </c>
      <c r="M36" s="108">
        <f t="shared" si="7"/>
        <v>16620.07722471204</v>
      </c>
      <c r="N36" s="160">
        <f t="shared" si="8"/>
        <v>-198260.14277528771</v>
      </c>
      <c r="O36" s="108">
        <v>0</v>
      </c>
      <c r="P36" s="108">
        <v>0</v>
      </c>
      <c r="Q36" s="108">
        <v>0</v>
      </c>
      <c r="R36" s="160">
        <f t="shared" si="9"/>
        <v>-198260.14277528771</v>
      </c>
    </row>
    <row r="37" spans="1:18" x14ac:dyDescent="0.2">
      <c r="A37" s="89">
        <v>6</v>
      </c>
      <c r="B37" s="154">
        <f t="shared" si="4"/>
        <v>45809</v>
      </c>
      <c r="C37" s="171">
        <f t="shared" si="10"/>
        <v>45841</v>
      </c>
      <c r="D37" s="171">
        <f t="shared" si="10"/>
        <v>45862</v>
      </c>
      <c r="E37" s="1" t="s">
        <v>22</v>
      </c>
      <c r="F37" s="89">
        <v>9</v>
      </c>
      <c r="G37" s="156">
        <v>3377</v>
      </c>
      <c r="H37" s="157">
        <f t="shared" si="5"/>
        <v>1110.3699999999999</v>
      </c>
      <c r="I37" s="157">
        <f t="shared" si="1"/>
        <v>1038.9100000000001</v>
      </c>
      <c r="J37" s="108">
        <f t="shared" si="2"/>
        <v>3508399.0700000003</v>
      </c>
      <c r="K37" s="158">
        <f t="shared" si="11"/>
        <v>3749719.4899999998</v>
      </c>
      <c r="L37" s="159">
        <f t="shared" si="12"/>
        <v>-241320.41999999946</v>
      </c>
      <c r="M37" s="108">
        <f t="shared" si="7"/>
        <v>18665.114994297492</v>
      </c>
      <c r="N37" s="160">
        <f t="shared" si="8"/>
        <v>-222655.30500570196</v>
      </c>
      <c r="O37" s="108">
        <v>0</v>
      </c>
      <c r="P37" s="108">
        <v>0</v>
      </c>
      <c r="Q37" s="108">
        <v>0</v>
      </c>
      <c r="R37" s="160">
        <f t="shared" si="9"/>
        <v>-222655.30500570196</v>
      </c>
    </row>
    <row r="38" spans="1:18" x14ac:dyDescent="0.2">
      <c r="A38" s="89">
        <v>7</v>
      </c>
      <c r="B38" s="154">
        <f t="shared" si="4"/>
        <v>45839</v>
      </c>
      <c r="C38" s="171">
        <f t="shared" si="10"/>
        <v>45874</v>
      </c>
      <c r="D38" s="171">
        <f t="shared" si="10"/>
        <v>45894</v>
      </c>
      <c r="E38" s="1" t="s">
        <v>22</v>
      </c>
      <c r="F38" s="89">
        <v>9</v>
      </c>
      <c r="G38" s="156">
        <v>3723</v>
      </c>
      <c r="H38" s="157">
        <f t="shared" si="5"/>
        <v>1110.3699999999999</v>
      </c>
      <c r="I38" s="157">
        <f t="shared" si="1"/>
        <v>1038.9100000000001</v>
      </c>
      <c r="J38" s="108">
        <f t="shared" si="2"/>
        <v>3867861.93</v>
      </c>
      <c r="K38" s="158">
        <f t="shared" si="11"/>
        <v>4133907.51</v>
      </c>
      <c r="L38" s="159">
        <f t="shared" si="12"/>
        <v>-266045.57999999961</v>
      </c>
      <c r="M38" s="108">
        <f t="shared" si="7"/>
        <v>20577.501665315242</v>
      </c>
      <c r="N38" s="160">
        <f t="shared" si="8"/>
        <v>-245468.07833468437</v>
      </c>
      <c r="O38" s="108">
        <v>0</v>
      </c>
      <c r="P38" s="108">
        <v>0</v>
      </c>
      <c r="Q38" s="108">
        <v>0</v>
      </c>
      <c r="R38" s="160">
        <f t="shared" si="9"/>
        <v>-245468.07833468437</v>
      </c>
    </row>
    <row r="39" spans="1:18" x14ac:dyDescent="0.2">
      <c r="A39" s="89">
        <v>8</v>
      </c>
      <c r="B39" s="154">
        <f t="shared" si="4"/>
        <v>45870</v>
      </c>
      <c r="C39" s="171">
        <f t="shared" si="10"/>
        <v>45904</v>
      </c>
      <c r="D39" s="171">
        <f t="shared" si="10"/>
        <v>45924</v>
      </c>
      <c r="E39" s="1" t="s">
        <v>22</v>
      </c>
      <c r="F39" s="89">
        <v>9</v>
      </c>
      <c r="G39" s="156">
        <v>3715</v>
      </c>
      <c r="H39" s="157">
        <f t="shared" si="5"/>
        <v>1110.3699999999999</v>
      </c>
      <c r="I39" s="157">
        <f t="shared" si="1"/>
        <v>1038.9100000000001</v>
      </c>
      <c r="J39" s="108">
        <f t="shared" si="2"/>
        <v>3859550.6500000004</v>
      </c>
      <c r="K39" s="158">
        <f t="shared" si="11"/>
        <v>4125024.55</v>
      </c>
      <c r="L39" s="159">
        <f t="shared" si="12"/>
        <v>-265473.89999999944</v>
      </c>
      <c r="M39" s="108">
        <f t="shared" si="7"/>
        <v>20533.284632459337</v>
      </c>
      <c r="N39" s="160">
        <f t="shared" si="8"/>
        <v>-244940.6153675401</v>
      </c>
      <c r="O39" s="108">
        <v>0</v>
      </c>
      <c r="P39" s="108">
        <v>0</v>
      </c>
      <c r="Q39" s="108">
        <v>0</v>
      </c>
      <c r="R39" s="160">
        <f t="shared" si="9"/>
        <v>-244940.6153675401</v>
      </c>
    </row>
    <row r="40" spans="1:18" x14ac:dyDescent="0.2">
      <c r="A40" s="89">
        <v>9</v>
      </c>
      <c r="B40" s="154">
        <f t="shared" si="4"/>
        <v>45901</v>
      </c>
      <c r="C40" s="171">
        <f t="shared" si="10"/>
        <v>45933</v>
      </c>
      <c r="D40" s="171">
        <f t="shared" si="10"/>
        <v>45954</v>
      </c>
      <c r="E40" s="1" t="s">
        <v>22</v>
      </c>
      <c r="F40" s="89">
        <v>9</v>
      </c>
      <c r="G40" s="156">
        <v>3256</v>
      </c>
      <c r="H40" s="157">
        <f t="shared" si="5"/>
        <v>1110.3699999999999</v>
      </c>
      <c r="I40" s="157">
        <f t="shared" si="1"/>
        <v>1038.9100000000001</v>
      </c>
      <c r="J40" s="108">
        <f t="shared" si="2"/>
        <v>3382690.9600000004</v>
      </c>
      <c r="K40" s="158">
        <f t="shared" si="11"/>
        <v>3615364.7199999997</v>
      </c>
      <c r="L40" s="159">
        <f t="shared" si="12"/>
        <v>-232673.75999999931</v>
      </c>
      <c r="M40" s="108">
        <f t="shared" si="7"/>
        <v>17996.332372351979</v>
      </c>
      <c r="N40" s="160">
        <f t="shared" si="8"/>
        <v>-214677.42762764732</v>
      </c>
      <c r="O40" s="108">
        <v>0</v>
      </c>
      <c r="P40" s="108">
        <v>0</v>
      </c>
      <c r="Q40" s="108">
        <v>0</v>
      </c>
      <c r="R40" s="160">
        <f t="shared" si="9"/>
        <v>-214677.42762764732</v>
      </c>
    </row>
    <row r="41" spans="1:18" x14ac:dyDescent="0.2">
      <c r="A41" s="89">
        <v>10</v>
      </c>
      <c r="B41" s="154">
        <f t="shared" si="4"/>
        <v>45931</v>
      </c>
      <c r="C41" s="171">
        <f t="shared" si="10"/>
        <v>45966</v>
      </c>
      <c r="D41" s="171">
        <f t="shared" si="10"/>
        <v>45985</v>
      </c>
      <c r="E41" s="1" t="s">
        <v>22</v>
      </c>
      <c r="F41" s="89">
        <v>9</v>
      </c>
      <c r="G41" s="156">
        <v>3014</v>
      </c>
      <c r="H41" s="157">
        <f t="shared" si="5"/>
        <v>1110.3699999999999</v>
      </c>
      <c r="I41" s="157">
        <f t="shared" si="1"/>
        <v>1038.9100000000001</v>
      </c>
      <c r="J41" s="108">
        <f t="shared" si="2"/>
        <v>3131274.74</v>
      </c>
      <c r="K41" s="158">
        <f t="shared" si="11"/>
        <v>3346655.1799999997</v>
      </c>
      <c r="L41" s="159">
        <f t="shared" si="12"/>
        <v>-215380.43999999948</v>
      </c>
      <c r="M41" s="108">
        <f t="shared" si="7"/>
        <v>16658.767128460953</v>
      </c>
      <c r="N41" s="160">
        <f t="shared" si="8"/>
        <v>-198721.67287153853</v>
      </c>
      <c r="O41" s="108">
        <v>0</v>
      </c>
      <c r="P41" s="108">
        <v>0</v>
      </c>
      <c r="Q41" s="108">
        <v>0</v>
      </c>
      <c r="R41" s="160">
        <f t="shared" si="9"/>
        <v>-198721.67287153853</v>
      </c>
    </row>
    <row r="42" spans="1:18" x14ac:dyDescent="0.2">
      <c r="A42" s="89">
        <v>11</v>
      </c>
      <c r="B42" s="154">
        <f t="shared" si="4"/>
        <v>45962</v>
      </c>
      <c r="C42" s="171">
        <f t="shared" si="10"/>
        <v>45994</v>
      </c>
      <c r="D42" s="171">
        <f t="shared" si="10"/>
        <v>46015</v>
      </c>
      <c r="E42" s="1" t="s">
        <v>22</v>
      </c>
      <c r="F42" s="89">
        <v>9</v>
      </c>
      <c r="G42" s="156">
        <v>2338</v>
      </c>
      <c r="H42" s="157">
        <f t="shared" si="5"/>
        <v>1110.3699999999999</v>
      </c>
      <c r="I42" s="157">
        <f t="shared" si="1"/>
        <v>1038.9100000000001</v>
      </c>
      <c r="J42" s="108">
        <f t="shared" si="2"/>
        <v>2428971.58</v>
      </c>
      <c r="K42" s="158">
        <f t="shared" si="11"/>
        <v>2596045.0599999996</v>
      </c>
      <c r="L42" s="159">
        <f t="shared" si="12"/>
        <v>-167073.47999999952</v>
      </c>
      <c r="M42" s="108">
        <f t="shared" si="7"/>
        <v>12922.427852137263</v>
      </c>
      <c r="N42" s="160">
        <f t="shared" si="8"/>
        <v>-154151.05214786224</v>
      </c>
      <c r="O42" s="108">
        <v>0</v>
      </c>
      <c r="P42" s="108">
        <v>0</v>
      </c>
      <c r="Q42" s="108">
        <v>0</v>
      </c>
      <c r="R42" s="160">
        <f t="shared" si="9"/>
        <v>-154151.05214786224</v>
      </c>
    </row>
    <row r="43" spans="1:18" x14ac:dyDescent="0.2">
      <c r="A43" s="89">
        <v>12</v>
      </c>
      <c r="B43" s="154">
        <f t="shared" si="4"/>
        <v>45992</v>
      </c>
      <c r="C43" s="171">
        <f t="shared" si="10"/>
        <v>46028</v>
      </c>
      <c r="D43" s="171">
        <f t="shared" si="10"/>
        <v>46048</v>
      </c>
      <c r="E43" s="1" t="s">
        <v>22</v>
      </c>
      <c r="F43" s="89">
        <v>9</v>
      </c>
      <c r="G43" s="162">
        <v>2969</v>
      </c>
      <c r="H43" s="163">
        <f t="shared" si="5"/>
        <v>1110.3699999999999</v>
      </c>
      <c r="I43" s="163">
        <f t="shared" si="1"/>
        <v>1038.9100000000001</v>
      </c>
      <c r="J43" s="164">
        <f t="shared" si="2"/>
        <v>3084523.79</v>
      </c>
      <c r="K43" s="165">
        <f t="shared" si="11"/>
        <v>3296688.53</v>
      </c>
      <c r="L43" s="166">
        <f t="shared" si="12"/>
        <v>-212164.73999999976</v>
      </c>
      <c r="M43" s="164">
        <f t="shared" si="7"/>
        <v>16410.046318646509</v>
      </c>
      <c r="N43" s="185">
        <f t="shared" si="8"/>
        <v>-195754.69368135324</v>
      </c>
      <c r="O43" s="164">
        <v>0</v>
      </c>
      <c r="P43" s="164">
        <v>0</v>
      </c>
      <c r="Q43" s="164">
        <v>0</v>
      </c>
      <c r="R43" s="185">
        <f t="shared" si="9"/>
        <v>-195754.69368135324</v>
      </c>
    </row>
    <row r="44" spans="1:18" x14ac:dyDescent="0.2">
      <c r="A44" s="89">
        <v>1</v>
      </c>
      <c r="B44" s="167">
        <f t="shared" ref="B44:B55" si="13">DATE($R$1,A44,1)</f>
        <v>45658</v>
      </c>
      <c r="C44" s="168">
        <f t="shared" ref="C44:D55" si="14">+C32</f>
        <v>45693</v>
      </c>
      <c r="D44" s="168">
        <f t="shared" si="14"/>
        <v>45712</v>
      </c>
      <c r="E44" s="169" t="s">
        <v>81</v>
      </c>
      <c r="F44" s="170">
        <v>9</v>
      </c>
      <c r="G44" s="156">
        <v>211</v>
      </c>
      <c r="H44" s="157">
        <f t="shared" si="5"/>
        <v>1110.3699999999999</v>
      </c>
      <c r="I44" s="157">
        <f t="shared" si="1"/>
        <v>1038.9100000000001</v>
      </c>
      <c r="J44" s="108">
        <f t="shared" ref="J44:J55" si="15">+$G44*I44</f>
        <v>219210.01</v>
      </c>
      <c r="K44" s="158">
        <f t="shared" ref="K44:K55" si="16">+$G44*H44</f>
        <v>234288.06999999998</v>
      </c>
      <c r="L44" s="159">
        <f t="shared" ref="L44:L55" si="17">+J44-K44</f>
        <v>-15078.059999999969</v>
      </c>
      <c r="M44" s="108">
        <f t="shared" si="7"/>
        <v>1166.2242415744067</v>
      </c>
      <c r="N44" s="160">
        <f t="shared" si="8"/>
        <v>-13911.835758425561</v>
      </c>
      <c r="O44" s="108">
        <v>0</v>
      </c>
      <c r="P44" s="108">
        <v>0</v>
      </c>
      <c r="Q44" s="108">
        <v>0</v>
      </c>
      <c r="R44" s="160">
        <f t="shared" si="9"/>
        <v>-13911.835758425561</v>
      </c>
    </row>
    <row r="45" spans="1:18" x14ac:dyDescent="0.2">
      <c r="A45" s="89">
        <v>2</v>
      </c>
      <c r="B45" s="154">
        <f t="shared" si="13"/>
        <v>45689</v>
      </c>
      <c r="C45" s="171">
        <f t="shared" si="14"/>
        <v>45721</v>
      </c>
      <c r="D45" s="171">
        <f t="shared" si="14"/>
        <v>45740</v>
      </c>
      <c r="E45" s="161" t="s">
        <v>81</v>
      </c>
      <c r="F45" s="89">
        <v>9</v>
      </c>
      <c r="G45" s="156">
        <v>200</v>
      </c>
      <c r="H45" s="157">
        <f t="shared" si="5"/>
        <v>1110.3699999999999</v>
      </c>
      <c r="I45" s="157">
        <f t="shared" si="1"/>
        <v>1038.9100000000001</v>
      </c>
      <c r="J45" s="108">
        <f t="shared" si="15"/>
        <v>207782.00000000003</v>
      </c>
      <c r="K45" s="158">
        <f t="shared" si="16"/>
        <v>222073.99999999997</v>
      </c>
      <c r="L45" s="159">
        <f t="shared" si="17"/>
        <v>-14291.999999999942</v>
      </c>
      <c r="M45" s="108">
        <f t="shared" si="7"/>
        <v>1105.4258213975418</v>
      </c>
      <c r="N45" s="160">
        <f t="shared" si="8"/>
        <v>-13186.574178602401</v>
      </c>
      <c r="O45" s="108">
        <v>0</v>
      </c>
      <c r="P45" s="108">
        <v>0</v>
      </c>
      <c r="Q45" s="108">
        <v>0</v>
      </c>
      <c r="R45" s="160">
        <f t="shared" si="9"/>
        <v>-13186.574178602401</v>
      </c>
    </row>
    <row r="46" spans="1:18" x14ac:dyDescent="0.2">
      <c r="A46" s="89">
        <v>3</v>
      </c>
      <c r="B46" s="154">
        <f t="shared" si="13"/>
        <v>45717</v>
      </c>
      <c r="C46" s="171">
        <f t="shared" si="14"/>
        <v>45750</v>
      </c>
      <c r="D46" s="171">
        <f t="shared" si="14"/>
        <v>45771</v>
      </c>
      <c r="E46" s="161" t="s">
        <v>81</v>
      </c>
      <c r="F46" s="89">
        <v>9</v>
      </c>
      <c r="G46" s="156">
        <v>122</v>
      </c>
      <c r="H46" s="157">
        <f t="shared" si="5"/>
        <v>1110.3699999999999</v>
      </c>
      <c r="I46" s="157">
        <f t="shared" si="1"/>
        <v>1038.9100000000001</v>
      </c>
      <c r="J46" s="108">
        <f t="shared" si="15"/>
        <v>126747.02</v>
      </c>
      <c r="K46" s="158">
        <f t="shared" si="16"/>
        <v>135465.13999999998</v>
      </c>
      <c r="L46" s="159">
        <f t="shared" si="17"/>
        <v>-8718.1199999999808</v>
      </c>
      <c r="M46" s="108">
        <f t="shared" si="7"/>
        <v>674.30975105250047</v>
      </c>
      <c r="N46" s="160">
        <f t="shared" si="8"/>
        <v>-8043.8102489474804</v>
      </c>
      <c r="O46" s="108">
        <v>0</v>
      </c>
      <c r="P46" s="108">
        <v>0</v>
      </c>
      <c r="Q46" s="108">
        <v>0</v>
      </c>
      <c r="R46" s="160">
        <f t="shared" si="9"/>
        <v>-8043.8102489474804</v>
      </c>
    </row>
    <row r="47" spans="1:18" x14ac:dyDescent="0.2">
      <c r="A47" s="89">
        <v>4</v>
      </c>
      <c r="B47" s="154">
        <f t="shared" si="13"/>
        <v>45748</v>
      </c>
      <c r="C47" s="171">
        <f t="shared" si="14"/>
        <v>45782</v>
      </c>
      <c r="D47" s="171">
        <f t="shared" si="14"/>
        <v>45803</v>
      </c>
      <c r="E47" s="161" t="s">
        <v>81</v>
      </c>
      <c r="F47" s="89">
        <v>9</v>
      </c>
      <c r="G47" s="156">
        <v>109</v>
      </c>
      <c r="H47" s="157">
        <f t="shared" si="5"/>
        <v>1110.3699999999999</v>
      </c>
      <c r="I47" s="157">
        <f t="shared" si="1"/>
        <v>1038.9100000000001</v>
      </c>
      <c r="J47" s="108">
        <f t="shared" si="15"/>
        <v>113241.19</v>
      </c>
      <c r="K47" s="158">
        <f t="shared" si="16"/>
        <v>121030.32999999999</v>
      </c>
      <c r="L47" s="159">
        <f t="shared" si="17"/>
        <v>-7789.1399999999849</v>
      </c>
      <c r="M47" s="108">
        <f t="shared" si="7"/>
        <v>602.45707266166028</v>
      </c>
      <c r="N47" s="160">
        <f t="shared" si="8"/>
        <v>-7186.6829273383246</v>
      </c>
      <c r="O47" s="108">
        <v>0</v>
      </c>
      <c r="P47" s="108">
        <v>0</v>
      </c>
      <c r="Q47" s="108">
        <v>0</v>
      </c>
      <c r="R47" s="160">
        <f t="shared" si="9"/>
        <v>-7186.6829273383246</v>
      </c>
    </row>
    <row r="48" spans="1:18" x14ac:dyDescent="0.2">
      <c r="A48" s="89">
        <v>5</v>
      </c>
      <c r="B48" s="154">
        <f t="shared" si="13"/>
        <v>45778</v>
      </c>
      <c r="C48" s="171">
        <f t="shared" si="14"/>
        <v>45812</v>
      </c>
      <c r="D48" s="171">
        <f t="shared" si="14"/>
        <v>45832</v>
      </c>
      <c r="E48" s="161" t="s">
        <v>81</v>
      </c>
      <c r="F48" s="89">
        <v>9</v>
      </c>
      <c r="G48" s="156">
        <v>102</v>
      </c>
      <c r="H48" s="157">
        <f t="shared" si="5"/>
        <v>1110.3699999999999</v>
      </c>
      <c r="I48" s="157">
        <f t="shared" si="1"/>
        <v>1038.9100000000001</v>
      </c>
      <c r="J48" s="108">
        <f t="shared" si="15"/>
        <v>105968.82</v>
      </c>
      <c r="K48" s="158">
        <f t="shared" si="16"/>
        <v>113257.73999999999</v>
      </c>
      <c r="L48" s="159">
        <f t="shared" si="17"/>
        <v>-7288.9199999999837</v>
      </c>
      <c r="M48" s="108">
        <f t="shared" si="7"/>
        <v>563.76716891274634</v>
      </c>
      <c r="N48" s="160">
        <f t="shared" si="8"/>
        <v>-6725.1528310872372</v>
      </c>
      <c r="O48" s="108">
        <v>0</v>
      </c>
      <c r="P48" s="108">
        <v>0</v>
      </c>
      <c r="Q48" s="108">
        <v>0</v>
      </c>
      <c r="R48" s="160">
        <f t="shared" si="9"/>
        <v>-6725.1528310872372</v>
      </c>
    </row>
    <row r="49" spans="1:18" x14ac:dyDescent="0.2">
      <c r="A49" s="89">
        <v>6</v>
      </c>
      <c r="B49" s="154">
        <f t="shared" si="13"/>
        <v>45809</v>
      </c>
      <c r="C49" s="171">
        <f t="shared" si="14"/>
        <v>45841</v>
      </c>
      <c r="D49" s="171">
        <f t="shared" si="14"/>
        <v>45862</v>
      </c>
      <c r="E49" s="161" t="s">
        <v>81</v>
      </c>
      <c r="F49" s="89">
        <v>9</v>
      </c>
      <c r="G49" s="156">
        <v>131</v>
      </c>
      <c r="H49" s="157">
        <f t="shared" si="5"/>
        <v>1110.3699999999999</v>
      </c>
      <c r="I49" s="157">
        <f t="shared" si="1"/>
        <v>1038.9100000000001</v>
      </c>
      <c r="J49" s="108">
        <f t="shared" si="15"/>
        <v>136097.21000000002</v>
      </c>
      <c r="K49" s="158">
        <f t="shared" si="16"/>
        <v>145458.46999999997</v>
      </c>
      <c r="L49" s="159">
        <f t="shared" si="17"/>
        <v>-9361.2599999999511</v>
      </c>
      <c r="M49" s="108">
        <f t="shared" si="7"/>
        <v>724.05391301538987</v>
      </c>
      <c r="N49" s="160">
        <f t="shared" si="8"/>
        <v>-8637.2060869845609</v>
      </c>
      <c r="O49" s="108">
        <v>0</v>
      </c>
      <c r="P49" s="108">
        <v>0</v>
      </c>
      <c r="Q49" s="108">
        <v>0</v>
      </c>
      <c r="R49" s="160">
        <f t="shared" si="9"/>
        <v>-8637.2060869845609</v>
      </c>
    </row>
    <row r="50" spans="1:18" x14ac:dyDescent="0.2">
      <c r="A50" s="89">
        <v>7</v>
      </c>
      <c r="B50" s="154">
        <f t="shared" si="13"/>
        <v>45839</v>
      </c>
      <c r="C50" s="171">
        <f t="shared" si="14"/>
        <v>45874</v>
      </c>
      <c r="D50" s="171">
        <f t="shared" si="14"/>
        <v>45894</v>
      </c>
      <c r="E50" s="161" t="s">
        <v>81</v>
      </c>
      <c r="F50" s="89">
        <v>9</v>
      </c>
      <c r="G50" s="156">
        <v>146</v>
      </c>
      <c r="H50" s="157">
        <f t="shared" si="5"/>
        <v>1110.3699999999999</v>
      </c>
      <c r="I50" s="157">
        <f t="shared" si="1"/>
        <v>1038.9100000000001</v>
      </c>
      <c r="J50" s="108">
        <f t="shared" si="15"/>
        <v>151680.86000000002</v>
      </c>
      <c r="K50" s="158">
        <f t="shared" si="16"/>
        <v>162114.01999999999</v>
      </c>
      <c r="L50" s="159">
        <f t="shared" si="17"/>
        <v>-10433.159999999974</v>
      </c>
      <c r="M50" s="108">
        <f t="shared" si="7"/>
        <v>806.96084962020541</v>
      </c>
      <c r="N50" s="160">
        <f t="shared" si="8"/>
        <v>-9626.199150379769</v>
      </c>
      <c r="O50" s="108">
        <v>0</v>
      </c>
      <c r="P50" s="108">
        <v>0</v>
      </c>
      <c r="Q50" s="108">
        <v>0</v>
      </c>
      <c r="R50" s="160">
        <f t="shared" si="9"/>
        <v>-9626.199150379769</v>
      </c>
    </row>
    <row r="51" spans="1:18" x14ac:dyDescent="0.2">
      <c r="A51" s="89">
        <v>8</v>
      </c>
      <c r="B51" s="154">
        <f t="shared" si="13"/>
        <v>45870</v>
      </c>
      <c r="C51" s="171">
        <f t="shared" si="14"/>
        <v>45904</v>
      </c>
      <c r="D51" s="171">
        <f t="shared" si="14"/>
        <v>45924</v>
      </c>
      <c r="E51" s="161" t="s">
        <v>81</v>
      </c>
      <c r="F51" s="89">
        <v>9</v>
      </c>
      <c r="G51" s="156">
        <v>149</v>
      </c>
      <c r="H51" s="157">
        <f t="shared" si="5"/>
        <v>1110.3699999999999</v>
      </c>
      <c r="I51" s="157">
        <f t="shared" si="1"/>
        <v>1038.9100000000001</v>
      </c>
      <c r="J51" s="108">
        <f t="shared" si="15"/>
        <v>154797.59000000003</v>
      </c>
      <c r="K51" s="158">
        <f t="shared" si="16"/>
        <v>165445.12999999998</v>
      </c>
      <c r="L51" s="159">
        <f t="shared" si="17"/>
        <v>-10647.53999999995</v>
      </c>
      <c r="M51" s="108">
        <f t="shared" si="7"/>
        <v>823.54223694116865</v>
      </c>
      <c r="N51" s="160">
        <f t="shared" si="8"/>
        <v>-9823.9977630587819</v>
      </c>
      <c r="O51" s="108">
        <v>0</v>
      </c>
      <c r="P51" s="108">
        <v>0</v>
      </c>
      <c r="Q51" s="108">
        <v>0</v>
      </c>
      <c r="R51" s="160">
        <f t="shared" si="9"/>
        <v>-9823.9977630587819</v>
      </c>
    </row>
    <row r="52" spans="1:18" x14ac:dyDescent="0.2">
      <c r="A52" s="89">
        <v>9</v>
      </c>
      <c r="B52" s="154">
        <f t="shared" si="13"/>
        <v>45901</v>
      </c>
      <c r="C52" s="171">
        <f t="shared" si="14"/>
        <v>45933</v>
      </c>
      <c r="D52" s="171">
        <f t="shared" si="14"/>
        <v>45954</v>
      </c>
      <c r="E52" s="161" t="s">
        <v>81</v>
      </c>
      <c r="F52" s="89">
        <v>9</v>
      </c>
      <c r="G52" s="156">
        <v>122</v>
      </c>
      <c r="H52" s="157">
        <f t="shared" si="5"/>
        <v>1110.3699999999999</v>
      </c>
      <c r="I52" s="157">
        <f t="shared" si="1"/>
        <v>1038.9100000000001</v>
      </c>
      <c r="J52" s="108">
        <f t="shared" si="15"/>
        <v>126747.02</v>
      </c>
      <c r="K52" s="158">
        <f t="shared" si="16"/>
        <v>135465.13999999998</v>
      </c>
      <c r="L52" s="159">
        <f t="shared" si="17"/>
        <v>-8718.1199999999808</v>
      </c>
      <c r="M52" s="108">
        <f t="shared" si="7"/>
        <v>674.30975105250047</v>
      </c>
      <c r="N52" s="160">
        <f t="shared" si="8"/>
        <v>-8043.8102489474804</v>
      </c>
      <c r="O52" s="108">
        <v>0</v>
      </c>
      <c r="P52" s="108">
        <v>0</v>
      </c>
      <c r="Q52" s="108">
        <v>0</v>
      </c>
      <c r="R52" s="160">
        <f t="shared" si="9"/>
        <v>-8043.8102489474804</v>
      </c>
    </row>
    <row r="53" spans="1:18" x14ac:dyDescent="0.2">
      <c r="A53" s="89">
        <v>10</v>
      </c>
      <c r="B53" s="154">
        <f t="shared" si="13"/>
        <v>45931</v>
      </c>
      <c r="C53" s="171">
        <f t="shared" si="14"/>
        <v>45966</v>
      </c>
      <c r="D53" s="171">
        <f t="shared" si="14"/>
        <v>45985</v>
      </c>
      <c r="E53" s="161" t="s">
        <v>81</v>
      </c>
      <c r="F53" s="89">
        <v>9</v>
      </c>
      <c r="G53" s="156">
        <v>117</v>
      </c>
      <c r="H53" s="157">
        <f t="shared" si="5"/>
        <v>1110.3699999999999</v>
      </c>
      <c r="I53" s="157">
        <f t="shared" si="1"/>
        <v>1038.9100000000001</v>
      </c>
      <c r="J53" s="108">
        <f t="shared" si="15"/>
        <v>121552.47000000002</v>
      </c>
      <c r="K53" s="158">
        <f t="shared" si="16"/>
        <v>129913.29</v>
      </c>
      <c r="L53" s="159">
        <f t="shared" si="17"/>
        <v>-8360.8199999999779</v>
      </c>
      <c r="M53" s="108">
        <f t="shared" si="7"/>
        <v>646.674105517562</v>
      </c>
      <c r="N53" s="160">
        <f t="shared" si="8"/>
        <v>-7714.1458944824162</v>
      </c>
      <c r="O53" s="108">
        <v>0</v>
      </c>
      <c r="P53" s="108">
        <v>0</v>
      </c>
      <c r="Q53" s="108">
        <v>0</v>
      </c>
      <c r="R53" s="160">
        <f t="shared" si="9"/>
        <v>-7714.1458944824162</v>
      </c>
    </row>
    <row r="54" spans="1:18" x14ac:dyDescent="0.2">
      <c r="A54" s="89">
        <v>11</v>
      </c>
      <c r="B54" s="154">
        <f t="shared" si="13"/>
        <v>45962</v>
      </c>
      <c r="C54" s="171">
        <f t="shared" si="14"/>
        <v>45994</v>
      </c>
      <c r="D54" s="171">
        <f t="shared" si="14"/>
        <v>46015</v>
      </c>
      <c r="E54" s="161" t="s">
        <v>81</v>
      </c>
      <c r="F54" s="89">
        <v>9</v>
      </c>
      <c r="G54" s="156">
        <v>118</v>
      </c>
      <c r="H54" s="157">
        <f t="shared" si="5"/>
        <v>1110.3699999999999</v>
      </c>
      <c r="I54" s="157">
        <f t="shared" si="1"/>
        <v>1038.9100000000001</v>
      </c>
      <c r="J54" s="108">
        <f t="shared" si="15"/>
        <v>122591.38</v>
      </c>
      <c r="K54" s="158">
        <f t="shared" si="16"/>
        <v>131023.65999999999</v>
      </c>
      <c r="L54" s="159">
        <f t="shared" si="17"/>
        <v>-8432.2799999999843</v>
      </c>
      <c r="M54" s="108">
        <f t="shared" si="7"/>
        <v>652.20123462454967</v>
      </c>
      <c r="N54" s="160">
        <f t="shared" si="8"/>
        <v>-7780.0787653754342</v>
      </c>
      <c r="O54" s="108">
        <v>0</v>
      </c>
      <c r="P54" s="108">
        <v>0</v>
      </c>
      <c r="Q54" s="108">
        <v>0</v>
      </c>
      <c r="R54" s="160">
        <f t="shared" si="9"/>
        <v>-7780.0787653754342</v>
      </c>
    </row>
    <row r="55" spans="1:18" x14ac:dyDescent="0.2">
      <c r="A55" s="89">
        <v>12</v>
      </c>
      <c r="B55" s="154">
        <f t="shared" si="13"/>
        <v>45992</v>
      </c>
      <c r="C55" s="171">
        <f t="shared" si="14"/>
        <v>46028</v>
      </c>
      <c r="D55" s="171">
        <f t="shared" si="14"/>
        <v>46048</v>
      </c>
      <c r="E55" s="161" t="s">
        <v>81</v>
      </c>
      <c r="F55" s="89">
        <v>9</v>
      </c>
      <c r="G55" s="162">
        <v>178</v>
      </c>
      <c r="H55" s="163">
        <f t="shared" si="5"/>
        <v>1110.3699999999999</v>
      </c>
      <c r="I55" s="163">
        <f t="shared" si="1"/>
        <v>1038.9100000000001</v>
      </c>
      <c r="J55" s="164">
        <f t="shared" si="15"/>
        <v>184925.98</v>
      </c>
      <c r="K55" s="165">
        <f t="shared" si="16"/>
        <v>197645.86</v>
      </c>
      <c r="L55" s="166">
        <f t="shared" si="17"/>
        <v>-12719.879999999976</v>
      </c>
      <c r="M55" s="164">
        <f t="shared" si="7"/>
        <v>983.82898104381218</v>
      </c>
      <c r="N55" s="185">
        <f t="shared" si="8"/>
        <v>-11736.051018956163</v>
      </c>
      <c r="O55" s="164">
        <v>0</v>
      </c>
      <c r="P55" s="164">
        <v>0</v>
      </c>
      <c r="Q55" s="164">
        <v>0</v>
      </c>
      <c r="R55" s="185">
        <f t="shared" si="9"/>
        <v>-11736.051018956163</v>
      </c>
    </row>
    <row r="56" spans="1:18" s="172" customFormat="1" x14ac:dyDescent="0.2">
      <c r="A56" s="89">
        <v>1</v>
      </c>
      <c r="B56" s="167">
        <f t="shared" si="4"/>
        <v>45658</v>
      </c>
      <c r="C56" s="168">
        <f t="shared" ref="C56:D67" si="18">+C32</f>
        <v>45693</v>
      </c>
      <c r="D56" s="168">
        <f t="shared" si="18"/>
        <v>45712</v>
      </c>
      <c r="E56" s="169" t="s">
        <v>14</v>
      </c>
      <c r="F56" s="170">
        <v>9</v>
      </c>
      <c r="G56" s="156">
        <v>966</v>
      </c>
      <c r="H56" s="157">
        <f t="shared" si="5"/>
        <v>1110.3699999999999</v>
      </c>
      <c r="I56" s="157">
        <f t="shared" si="1"/>
        <v>1038.9100000000001</v>
      </c>
      <c r="J56" s="108">
        <f t="shared" si="2"/>
        <v>1003587.06</v>
      </c>
      <c r="K56" s="158">
        <f t="shared" si="11"/>
        <v>1072617.42</v>
      </c>
      <c r="L56" s="159">
        <f t="shared" si="12"/>
        <v>-69030.35999999987</v>
      </c>
      <c r="M56" s="108">
        <f t="shared" si="7"/>
        <v>5339.2067173501273</v>
      </c>
      <c r="N56" s="160">
        <f t="shared" si="8"/>
        <v>-63691.153282649742</v>
      </c>
      <c r="O56" s="108">
        <v>0</v>
      </c>
      <c r="P56" s="108">
        <v>0</v>
      </c>
      <c r="Q56" s="108">
        <v>0</v>
      </c>
      <c r="R56" s="160">
        <f t="shared" si="9"/>
        <v>-63691.153282649742</v>
      </c>
    </row>
    <row r="57" spans="1:18" x14ac:dyDescent="0.2">
      <c r="A57" s="89">
        <v>2</v>
      </c>
      <c r="B57" s="154">
        <f t="shared" si="4"/>
        <v>45689</v>
      </c>
      <c r="C57" s="171">
        <f t="shared" si="18"/>
        <v>45721</v>
      </c>
      <c r="D57" s="171">
        <f t="shared" si="18"/>
        <v>45740</v>
      </c>
      <c r="E57" s="161" t="s">
        <v>14</v>
      </c>
      <c r="F57" s="89">
        <v>9</v>
      </c>
      <c r="G57" s="156">
        <v>1102</v>
      </c>
      <c r="H57" s="157">
        <f t="shared" si="5"/>
        <v>1110.3699999999999</v>
      </c>
      <c r="I57" s="157">
        <f t="shared" si="1"/>
        <v>1038.9100000000001</v>
      </c>
      <c r="J57" s="108">
        <f t="shared" si="2"/>
        <v>1144878.82</v>
      </c>
      <c r="K57" s="158">
        <f t="shared" si="11"/>
        <v>1223627.74</v>
      </c>
      <c r="L57" s="159">
        <f t="shared" si="12"/>
        <v>-78748.919999999925</v>
      </c>
      <c r="M57" s="108">
        <f t="shared" si="7"/>
        <v>6090.8962759004544</v>
      </c>
      <c r="N57" s="160">
        <f t="shared" si="8"/>
        <v>-72658.023724099476</v>
      </c>
      <c r="O57" s="108">
        <v>0</v>
      </c>
      <c r="P57" s="108">
        <v>0</v>
      </c>
      <c r="Q57" s="108">
        <v>0</v>
      </c>
      <c r="R57" s="160">
        <f t="shared" si="9"/>
        <v>-72658.023724099476</v>
      </c>
    </row>
    <row r="58" spans="1:18" x14ac:dyDescent="0.2">
      <c r="A58" s="89">
        <v>3</v>
      </c>
      <c r="B58" s="154">
        <f t="shared" si="4"/>
        <v>45717</v>
      </c>
      <c r="C58" s="171">
        <f t="shared" si="18"/>
        <v>45750</v>
      </c>
      <c r="D58" s="171">
        <f t="shared" si="18"/>
        <v>45771</v>
      </c>
      <c r="E58" s="161" t="s">
        <v>14</v>
      </c>
      <c r="F58" s="89">
        <v>9</v>
      </c>
      <c r="G58" s="156">
        <v>715</v>
      </c>
      <c r="H58" s="157">
        <f t="shared" si="5"/>
        <v>1110.3699999999999</v>
      </c>
      <c r="I58" s="157">
        <f t="shared" si="1"/>
        <v>1038.9100000000001</v>
      </c>
      <c r="J58" s="108">
        <f t="shared" si="2"/>
        <v>742820.65</v>
      </c>
      <c r="K58" s="158">
        <f t="shared" si="11"/>
        <v>793914.54999999993</v>
      </c>
      <c r="L58" s="159">
        <f>+J58-K58</f>
        <v>-51093.899999999907</v>
      </c>
      <c r="M58" s="108">
        <f t="shared" si="7"/>
        <v>3951.8973114962114</v>
      </c>
      <c r="N58" s="160">
        <f t="shared" si="8"/>
        <v>-47142.002688503693</v>
      </c>
      <c r="O58" s="108">
        <v>0</v>
      </c>
      <c r="P58" s="108">
        <v>0</v>
      </c>
      <c r="Q58" s="108">
        <v>0</v>
      </c>
      <c r="R58" s="160">
        <f t="shared" si="9"/>
        <v>-47142.002688503693</v>
      </c>
    </row>
    <row r="59" spans="1:18" x14ac:dyDescent="0.2">
      <c r="A59" s="89">
        <v>4</v>
      </c>
      <c r="B59" s="154">
        <f t="shared" si="4"/>
        <v>45748</v>
      </c>
      <c r="C59" s="171">
        <f t="shared" si="18"/>
        <v>45782</v>
      </c>
      <c r="D59" s="171">
        <f t="shared" si="18"/>
        <v>45803</v>
      </c>
      <c r="E59" s="161" t="s">
        <v>14</v>
      </c>
      <c r="F59" s="89">
        <v>9</v>
      </c>
      <c r="G59" s="156">
        <v>581</v>
      </c>
      <c r="H59" s="157">
        <f t="shared" si="5"/>
        <v>1110.3699999999999</v>
      </c>
      <c r="I59" s="157">
        <f t="shared" si="1"/>
        <v>1038.9100000000001</v>
      </c>
      <c r="J59" s="108">
        <f t="shared" si="2"/>
        <v>603606.71000000008</v>
      </c>
      <c r="K59" s="158">
        <f t="shared" si="11"/>
        <v>645124.97</v>
      </c>
      <c r="L59" s="159">
        <f t="shared" ref="L59:L81" si="19">+J59-K59</f>
        <v>-41518.259999999893</v>
      </c>
      <c r="M59" s="108">
        <f t="shared" si="7"/>
        <v>3211.262011159859</v>
      </c>
      <c r="N59" s="160">
        <f t="shared" si="8"/>
        <v>-38306.997988840034</v>
      </c>
      <c r="O59" s="108">
        <v>0</v>
      </c>
      <c r="P59" s="108">
        <v>0</v>
      </c>
      <c r="Q59" s="108">
        <v>0</v>
      </c>
      <c r="R59" s="160">
        <f t="shared" si="9"/>
        <v>-38306.997988840034</v>
      </c>
    </row>
    <row r="60" spans="1:18" x14ac:dyDescent="0.2">
      <c r="A60" s="89">
        <v>5</v>
      </c>
      <c r="B60" s="154">
        <f t="shared" si="4"/>
        <v>45778</v>
      </c>
      <c r="C60" s="171">
        <f t="shared" si="18"/>
        <v>45812</v>
      </c>
      <c r="D60" s="171">
        <f t="shared" si="18"/>
        <v>45832</v>
      </c>
      <c r="E60" s="1" t="s">
        <v>14</v>
      </c>
      <c r="F60" s="89">
        <v>9</v>
      </c>
      <c r="G60" s="156">
        <v>781</v>
      </c>
      <c r="H60" s="157">
        <f t="shared" si="5"/>
        <v>1110.3699999999999</v>
      </c>
      <c r="I60" s="157">
        <f t="shared" si="1"/>
        <v>1038.9100000000001</v>
      </c>
      <c r="J60" s="108">
        <f t="shared" si="2"/>
        <v>811388.71000000008</v>
      </c>
      <c r="K60" s="158">
        <f t="shared" si="11"/>
        <v>867198.97</v>
      </c>
      <c r="L60" s="159">
        <f t="shared" si="19"/>
        <v>-55810.259999999893</v>
      </c>
      <c r="M60" s="108">
        <f t="shared" si="7"/>
        <v>4316.6878325574007</v>
      </c>
      <c r="N60" s="160">
        <f t="shared" si="8"/>
        <v>-51493.572167442493</v>
      </c>
      <c r="O60" s="108">
        <v>0</v>
      </c>
      <c r="P60" s="108">
        <v>0</v>
      </c>
      <c r="Q60" s="108">
        <v>0</v>
      </c>
      <c r="R60" s="160">
        <f t="shared" si="9"/>
        <v>-51493.572167442493</v>
      </c>
    </row>
    <row r="61" spans="1:18" x14ac:dyDescent="0.2">
      <c r="A61" s="89">
        <v>6</v>
      </c>
      <c r="B61" s="154">
        <f t="shared" si="4"/>
        <v>45809</v>
      </c>
      <c r="C61" s="171">
        <f t="shared" si="18"/>
        <v>45841</v>
      </c>
      <c r="D61" s="171">
        <f t="shared" si="18"/>
        <v>45862</v>
      </c>
      <c r="E61" s="1" t="s">
        <v>14</v>
      </c>
      <c r="F61" s="89">
        <v>9</v>
      </c>
      <c r="G61" s="156">
        <v>896</v>
      </c>
      <c r="H61" s="157">
        <f t="shared" si="5"/>
        <v>1110.3699999999999</v>
      </c>
      <c r="I61" s="157">
        <f t="shared" si="1"/>
        <v>1038.9100000000001</v>
      </c>
      <c r="J61" s="108">
        <f t="shared" si="2"/>
        <v>930863.3600000001</v>
      </c>
      <c r="K61" s="158">
        <f t="shared" si="11"/>
        <v>994891.5199999999</v>
      </c>
      <c r="L61" s="159">
        <f t="shared" si="19"/>
        <v>-64028.1599999998</v>
      </c>
      <c r="M61" s="108">
        <f t="shared" si="7"/>
        <v>4952.3076798609864</v>
      </c>
      <c r="N61" s="160">
        <f t="shared" si="8"/>
        <v>-59075.852320138816</v>
      </c>
      <c r="O61" s="108">
        <v>0</v>
      </c>
      <c r="P61" s="108">
        <v>0</v>
      </c>
      <c r="Q61" s="108">
        <v>0</v>
      </c>
      <c r="R61" s="160">
        <f t="shared" si="9"/>
        <v>-59075.852320138816</v>
      </c>
    </row>
    <row r="62" spans="1:18" x14ac:dyDescent="0.2">
      <c r="A62" s="89">
        <v>7</v>
      </c>
      <c r="B62" s="154">
        <f t="shared" si="4"/>
        <v>45839</v>
      </c>
      <c r="C62" s="171">
        <f t="shared" si="18"/>
        <v>45874</v>
      </c>
      <c r="D62" s="171">
        <f t="shared" si="18"/>
        <v>45894</v>
      </c>
      <c r="E62" s="1" t="s">
        <v>14</v>
      </c>
      <c r="F62" s="89">
        <v>9</v>
      </c>
      <c r="G62" s="156">
        <v>1028</v>
      </c>
      <c r="H62" s="157">
        <f t="shared" si="5"/>
        <v>1110.3699999999999</v>
      </c>
      <c r="I62" s="157">
        <f t="shared" si="1"/>
        <v>1038.9100000000001</v>
      </c>
      <c r="J62" s="108">
        <f t="shared" si="2"/>
        <v>1067999.48</v>
      </c>
      <c r="K62" s="158">
        <f t="shared" si="11"/>
        <v>1141460.3599999999</v>
      </c>
      <c r="L62" s="159">
        <f t="shared" si="19"/>
        <v>-73460.879999999888</v>
      </c>
      <c r="M62" s="108">
        <f t="shared" si="7"/>
        <v>5681.888721983365</v>
      </c>
      <c r="N62" s="160">
        <f t="shared" si="8"/>
        <v>-67778.991278016518</v>
      </c>
      <c r="O62" s="108">
        <v>0</v>
      </c>
      <c r="P62" s="108">
        <v>0</v>
      </c>
      <c r="Q62" s="108">
        <v>0</v>
      </c>
      <c r="R62" s="160">
        <f t="shared" si="9"/>
        <v>-67778.991278016518</v>
      </c>
    </row>
    <row r="63" spans="1:18" x14ac:dyDescent="0.2">
      <c r="A63" s="89">
        <v>8</v>
      </c>
      <c r="B63" s="154">
        <f t="shared" si="4"/>
        <v>45870</v>
      </c>
      <c r="C63" s="171">
        <f t="shared" si="18"/>
        <v>45904</v>
      </c>
      <c r="D63" s="171">
        <f t="shared" si="18"/>
        <v>45924</v>
      </c>
      <c r="E63" s="1" t="s">
        <v>14</v>
      </c>
      <c r="F63" s="89">
        <v>9</v>
      </c>
      <c r="G63" s="156">
        <v>1055</v>
      </c>
      <c r="H63" s="157">
        <f t="shared" si="5"/>
        <v>1110.3699999999999</v>
      </c>
      <c r="I63" s="157">
        <f t="shared" si="1"/>
        <v>1038.9100000000001</v>
      </c>
      <c r="J63" s="108">
        <f t="shared" si="2"/>
        <v>1096050.05</v>
      </c>
      <c r="K63" s="158">
        <f t="shared" si="11"/>
        <v>1171440.3499999999</v>
      </c>
      <c r="L63" s="159">
        <f t="shared" si="19"/>
        <v>-75390.299999999814</v>
      </c>
      <c r="M63" s="108">
        <f t="shared" si="7"/>
        <v>5831.1212078720337</v>
      </c>
      <c r="N63" s="160">
        <f t="shared" si="8"/>
        <v>-69559.178792127786</v>
      </c>
      <c r="O63" s="108">
        <v>0</v>
      </c>
      <c r="P63" s="108">
        <v>0</v>
      </c>
      <c r="Q63" s="108">
        <v>0</v>
      </c>
      <c r="R63" s="160">
        <f t="shared" si="9"/>
        <v>-69559.178792127786</v>
      </c>
    </row>
    <row r="64" spans="1:18" x14ac:dyDescent="0.2">
      <c r="A64" s="89">
        <v>9</v>
      </c>
      <c r="B64" s="154">
        <f t="shared" si="4"/>
        <v>45901</v>
      </c>
      <c r="C64" s="171">
        <f t="shared" si="18"/>
        <v>45933</v>
      </c>
      <c r="D64" s="171">
        <f t="shared" si="18"/>
        <v>45954</v>
      </c>
      <c r="E64" s="1" t="s">
        <v>14</v>
      </c>
      <c r="F64" s="89">
        <v>9</v>
      </c>
      <c r="G64" s="156">
        <v>815</v>
      </c>
      <c r="H64" s="157">
        <f t="shared" si="5"/>
        <v>1110.3699999999999</v>
      </c>
      <c r="I64" s="157">
        <f t="shared" ref="I64:I107" si="20">$J$3</f>
        <v>1038.9100000000001</v>
      </c>
      <c r="J64" s="108">
        <f t="shared" si="2"/>
        <v>846711.65</v>
      </c>
      <c r="K64" s="158">
        <f t="shared" si="11"/>
        <v>904951.54999999993</v>
      </c>
      <c r="L64" s="159">
        <f t="shared" si="19"/>
        <v>-58239.899999999907</v>
      </c>
      <c r="M64" s="108">
        <f t="shared" si="7"/>
        <v>4504.6102221949823</v>
      </c>
      <c r="N64" s="160">
        <f t="shared" si="8"/>
        <v>-53735.289777804923</v>
      </c>
      <c r="O64" s="108">
        <v>0</v>
      </c>
      <c r="P64" s="108">
        <v>0</v>
      </c>
      <c r="Q64" s="108">
        <v>0</v>
      </c>
      <c r="R64" s="160">
        <f t="shared" si="9"/>
        <v>-53735.289777804923</v>
      </c>
    </row>
    <row r="65" spans="1:18" x14ac:dyDescent="0.2">
      <c r="A65" s="89">
        <v>10</v>
      </c>
      <c r="B65" s="154">
        <f t="shared" si="4"/>
        <v>45931</v>
      </c>
      <c r="C65" s="171">
        <f t="shared" si="18"/>
        <v>45966</v>
      </c>
      <c r="D65" s="171">
        <f t="shared" si="18"/>
        <v>45985</v>
      </c>
      <c r="E65" s="1" t="s">
        <v>14</v>
      </c>
      <c r="F65" s="89">
        <v>9</v>
      </c>
      <c r="G65" s="156">
        <v>738</v>
      </c>
      <c r="H65" s="157">
        <f t="shared" si="5"/>
        <v>1110.3699999999999</v>
      </c>
      <c r="I65" s="157">
        <f t="shared" si="20"/>
        <v>1038.9100000000001</v>
      </c>
      <c r="J65" s="108">
        <f t="shared" si="2"/>
        <v>766715.58000000007</v>
      </c>
      <c r="K65" s="158">
        <f t="shared" si="11"/>
        <v>819453.05999999994</v>
      </c>
      <c r="L65" s="159">
        <f t="shared" si="19"/>
        <v>-52737.479999999865</v>
      </c>
      <c r="M65" s="108">
        <f t="shared" si="7"/>
        <v>4079.0212809569289</v>
      </c>
      <c r="N65" s="160">
        <f t="shared" si="8"/>
        <v>-48658.458719042937</v>
      </c>
      <c r="O65" s="108">
        <v>0</v>
      </c>
      <c r="P65" s="108">
        <v>0</v>
      </c>
      <c r="Q65" s="108">
        <v>0</v>
      </c>
      <c r="R65" s="160">
        <f t="shared" si="9"/>
        <v>-48658.458719042937</v>
      </c>
    </row>
    <row r="66" spans="1:18" x14ac:dyDescent="0.2">
      <c r="A66" s="89">
        <v>11</v>
      </c>
      <c r="B66" s="154">
        <f t="shared" si="4"/>
        <v>45962</v>
      </c>
      <c r="C66" s="171">
        <f t="shared" si="18"/>
        <v>45994</v>
      </c>
      <c r="D66" s="171">
        <f t="shared" si="18"/>
        <v>46015</v>
      </c>
      <c r="E66" s="1" t="s">
        <v>14</v>
      </c>
      <c r="F66" s="89">
        <v>9</v>
      </c>
      <c r="G66" s="156">
        <v>706</v>
      </c>
      <c r="H66" s="157">
        <f t="shared" si="5"/>
        <v>1110.3699999999999</v>
      </c>
      <c r="I66" s="157">
        <f t="shared" si="20"/>
        <v>1038.9100000000001</v>
      </c>
      <c r="J66" s="108">
        <f t="shared" si="2"/>
        <v>733470.46000000008</v>
      </c>
      <c r="K66" s="158">
        <f t="shared" si="11"/>
        <v>783921.22</v>
      </c>
      <c r="L66" s="159">
        <f t="shared" si="19"/>
        <v>-50450.759999999893</v>
      </c>
      <c r="M66" s="108">
        <f t="shared" si="7"/>
        <v>3902.1531495333224</v>
      </c>
      <c r="N66" s="160">
        <f t="shared" si="8"/>
        <v>-46548.606850466567</v>
      </c>
      <c r="O66" s="108">
        <v>0</v>
      </c>
      <c r="P66" s="108">
        <v>0</v>
      </c>
      <c r="Q66" s="108">
        <v>0</v>
      </c>
      <c r="R66" s="160">
        <f t="shared" si="9"/>
        <v>-46548.606850466567</v>
      </c>
    </row>
    <row r="67" spans="1:18" s="175" customFormat="1" x14ac:dyDescent="0.2">
      <c r="A67" s="89">
        <v>12</v>
      </c>
      <c r="B67" s="173">
        <f t="shared" si="4"/>
        <v>45992</v>
      </c>
      <c r="C67" s="171">
        <f t="shared" si="18"/>
        <v>46028</v>
      </c>
      <c r="D67" s="171">
        <f t="shared" si="18"/>
        <v>46048</v>
      </c>
      <c r="E67" s="174" t="s">
        <v>14</v>
      </c>
      <c r="F67" s="131">
        <v>9</v>
      </c>
      <c r="G67" s="162">
        <v>863</v>
      </c>
      <c r="H67" s="163">
        <f t="shared" si="5"/>
        <v>1110.3699999999999</v>
      </c>
      <c r="I67" s="163">
        <f t="shared" si="20"/>
        <v>1038.9100000000001</v>
      </c>
      <c r="J67" s="164">
        <f t="shared" si="2"/>
        <v>896579.33000000007</v>
      </c>
      <c r="K67" s="165">
        <f t="shared" si="11"/>
        <v>958249.30999999994</v>
      </c>
      <c r="L67" s="166">
        <f t="shared" si="19"/>
        <v>-61669.979999999865</v>
      </c>
      <c r="M67" s="164">
        <f t="shared" si="7"/>
        <v>4769.9124193303924</v>
      </c>
      <c r="N67" s="185">
        <f t="shared" si="8"/>
        <v>-56900.067580669471</v>
      </c>
      <c r="O67" s="164">
        <v>0</v>
      </c>
      <c r="P67" s="164">
        <v>0</v>
      </c>
      <c r="Q67" s="164">
        <v>0</v>
      </c>
      <c r="R67" s="185">
        <f t="shared" si="9"/>
        <v>-56900.067580669471</v>
      </c>
    </row>
    <row r="68" spans="1:18" x14ac:dyDescent="0.2">
      <c r="A68" s="89">
        <v>1</v>
      </c>
      <c r="B68" s="154">
        <f t="shared" si="4"/>
        <v>45658</v>
      </c>
      <c r="C68" s="168">
        <f t="shared" ref="C68:D79" si="21">+C56</f>
        <v>45693</v>
      </c>
      <c r="D68" s="168">
        <f t="shared" si="21"/>
        <v>45712</v>
      </c>
      <c r="E68" s="155" t="s">
        <v>83</v>
      </c>
      <c r="F68" s="89">
        <v>9</v>
      </c>
      <c r="G68" s="156">
        <v>47</v>
      </c>
      <c r="H68" s="157">
        <f t="shared" si="5"/>
        <v>1110.3699999999999</v>
      </c>
      <c r="I68" s="157">
        <f t="shared" si="20"/>
        <v>1038.9100000000001</v>
      </c>
      <c r="J68" s="108">
        <f t="shared" si="2"/>
        <v>48828.770000000004</v>
      </c>
      <c r="K68" s="158">
        <f t="shared" si="11"/>
        <v>52187.389999999992</v>
      </c>
      <c r="L68" s="159">
        <f t="shared" si="19"/>
        <v>-3358.6199999999881</v>
      </c>
      <c r="M68" s="108">
        <f t="shared" si="7"/>
        <v>259.77506802842231</v>
      </c>
      <c r="N68" s="160">
        <f t="shared" si="8"/>
        <v>-3098.8449319715655</v>
      </c>
      <c r="O68" s="108">
        <v>0</v>
      </c>
      <c r="P68" s="108">
        <v>0</v>
      </c>
      <c r="Q68" s="108">
        <v>0</v>
      </c>
      <c r="R68" s="160">
        <f t="shared" si="9"/>
        <v>-3098.8449319715655</v>
      </c>
    </row>
    <row r="69" spans="1:18" x14ac:dyDescent="0.2">
      <c r="A69" s="89">
        <v>2</v>
      </c>
      <c r="B69" s="154">
        <f t="shared" si="4"/>
        <v>45689</v>
      </c>
      <c r="C69" s="171">
        <f t="shared" si="21"/>
        <v>45721</v>
      </c>
      <c r="D69" s="171">
        <f t="shared" si="21"/>
        <v>45740</v>
      </c>
      <c r="E69" s="161" t="s">
        <v>83</v>
      </c>
      <c r="F69" s="89">
        <v>9</v>
      </c>
      <c r="G69" s="156">
        <v>57</v>
      </c>
      <c r="H69" s="157">
        <f t="shared" si="5"/>
        <v>1110.3699999999999</v>
      </c>
      <c r="I69" s="157">
        <f t="shared" si="20"/>
        <v>1038.9100000000001</v>
      </c>
      <c r="J69" s="108">
        <f t="shared" si="2"/>
        <v>59217.87</v>
      </c>
      <c r="K69" s="158">
        <f t="shared" si="11"/>
        <v>63291.09</v>
      </c>
      <c r="L69" s="159">
        <f t="shared" si="19"/>
        <v>-4073.2199999999939</v>
      </c>
      <c r="M69" s="108">
        <f t="shared" si="7"/>
        <v>315.04635909829938</v>
      </c>
      <c r="N69" s="160">
        <f t="shared" si="8"/>
        <v>-3758.1736409016944</v>
      </c>
      <c r="O69" s="108">
        <v>0</v>
      </c>
      <c r="P69" s="108">
        <v>0</v>
      </c>
      <c r="Q69" s="108">
        <v>0</v>
      </c>
      <c r="R69" s="160">
        <f t="shared" si="9"/>
        <v>-3758.1736409016944</v>
      </c>
    </row>
    <row r="70" spans="1:18" x14ac:dyDescent="0.2">
      <c r="A70" s="89">
        <v>3</v>
      </c>
      <c r="B70" s="154">
        <f t="shared" si="4"/>
        <v>45717</v>
      </c>
      <c r="C70" s="171">
        <f t="shared" si="21"/>
        <v>45750</v>
      </c>
      <c r="D70" s="171">
        <f t="shared" si="21"/>
        <v>45771</v>
      </c>
      <c r="E70" s="161" t="s">
        <v>83</v>
      </c>
      <c r="F70" s="89">
        <v>9</v>
      </c>
      <c r="G70" s="156">
        <v>34</v>
      </c>
      <c r="H70" s="157">
        <f t="shared" si="5"/>
        <v>1110.3699999999999</v>
      </c>
      <c r="I70" s="157">
        <f t="shared" si="20"/>
        <v>1038.9100000000001</v>
      </c>
      <c r="J70" s="108">
        <f t="shared" si="2"/>
        <v>35322.94</v>
      </c>
      <c r="K70" s="158">
        <f t="shared" si="11"/>
        <v>37752.579999999994</v>
      </c>
      <c r="L70" s="159">
        <f>+J70-K70</f>
        <v>-2429.6399999999921</v>
      </c>
      <c r="M70" s="108">
        <f t="shared" si="7"/>
        <v>187.92238963758209</v>
      </c>
      <c r="N70" s="160">
        <f t="shared" si="8"/>
        <v>-2241.7176103624101</v>
      </c>
      <c r="O70" s="108">
        <v>0</v>
      </c>
      <c r="P70" s="108">
        <v>0</v>
      </c>
      <c r="Q70" s="108">
        <v>0</v>
      </c>
      <c r="R70" s="160">
        <f t="shared" si="9"/>
        <v>-2241.7176103624101</v>
      </c>
    </row>
    <row r="71" spans="1:18" x14ac:dyDescent="0.2">
      <c r="A71" s="89">
        <v>4</v>
      </c>
      <c r="B71" s="154">
        <f t="shared" si="4"/>
        <v>45748</v>
      </c>
      <c r="C71" s="171">
        <f t="shared" si="21"/>
        <v>45782</v>
      </c>
      <c r="D71" s="171">
        <f t="shared" si="21"/>
        <v>45803</v>
      </c>
      <c r="E71" s="161" t="s">
        <v>83</v>
      </c>
      <c r="F71" s="89">
        <v>9</v>
      </c>
      <c r="G71" s="156">
        <v>27</v>
      </c>
      <c r="H71" s="157">
        <f t="shared" si="5"/>
        <v>1110.3699999999999</v>
      </c>
      <c r="I71" s="157">
        <f t="shared" si="20"/>
        <v>1038.9100000000001</v>
      </c>
      <c r="J71" s="108">
        <f t="shared" si="2"/>
        <v>28050.570000000003</v>
      </c>
      <c r="K71" s="158">
        <f t="shared" si="11"/>
        <v>29979.989999999998</v>
      </c>
      <c r="L71" s="159">
        <f t="shared" ref="L71:L79" si="22">+J71-K71</f>
        <v>-1929.4199999999946</v>
      </c>
      <c r="M71" s="108">
        <f t="shared" si="7"/>
        <v>149.23248588866815</v>
      </c>
      <c r="N71" s="160">
        <f t="shared" si="8"/>
        <v>-1780.1875141113264</v>
      </c>
      <c r="O71" s="108">
        <v>0</v>
      </c>
      <c r="P71" s="108">
        <v>0</v>
      </c>
      <c r="Q71" s="108">
        <v>0</v>
      </c>
      <c r="R71" s="160">
        <f t="shared" si="9"/>
        <v>-1780.1875141113264</v>
      </c>
    </row>
    <row r="72" spans="1:18" x14ac:dyDescent="0.2">
      <c r="A72" s="89">
        <v>5</v>
      </c>
      <c r="B72" s="154">
        <f t="shared" si="4"/>
        <v>45778</v>
      </c>
      <c r="C72" s="171">
        <f t="shared" si="21"/>
        <v>45812</v>
      </c>
      <c r="D72" s="171">
        <f t="shared" si="21"/>
        <v>45832</v>
      </c>
      <c r="E72" s="161" t="s">
        <v>83</v>
      </c>
      <c r="F72" s="89">
        <v>9</v>
      </c>
      <c r="G72" s="156">
        <v>40</v>
      </c>
      <c r="H72" s="157">
        <f t="shared" si="5"/>
        <v>1110.3699999999999</v>
      </c>
      <c r="I72" s="157">
        <f t="shared" si="20"/>
        <v>1038.9100000000001</v>
      </c>
      <c r="J72" s="108">
        <f t="shared" si="2"/>
        <v>41556.400000000001</v>
      </c>
      <c r="K72" s="158">
        <f t="shared" si="11"/>
        <v>44414.799999999996</v>
      </c>
      <c r="L72" s="159">
        <f t="shared" si="22"/>
        <v>-2858.3999999999942</v>
      </c>
      <c r="M72" s="108">
        <f t="shared" si="7"/>
        <v>221.08516427950835</v>
      </c>
      <c r="N72" s="160">
        <f t="shared" si="8"/>
        <v>-2637.3148357204859</v>
      </c>
      <c r="O72" s="108">
        <v>0</v>
      </c>
      <c r="P72" s="108">
        <v>0</v>
      </c>
      <c r="Q72" s="108">
        <v>0</v>
      </c>
      <c r="R72" s="160">
        <f t="shared" si="9"/>
        <v>-2637.3148357204859</v>
      </c>
    </row>
    <row r="73" spans="1:18" x14ac:dyDescent="0.2">
      <c r="A73" s="89">
        <v>6</v>
      </c>
      <c r="B73" s="154">
        <f t="shared" si="4"/>
        <v>45809</v>
      </c>
      <c r="C73" s="171">
        <f t="shared" si="21"/>
        <v>45841</v>
      </c>
      <c r="D73" s="171">
        <f t="shared" si="21"/>
        <v>45862</v>
      </c>
      <c r="E73" s="161" t="s">
        <v>83</v>
      </c>
      <c r="F73" s="89">
        <v>9</v>
      </c>
      <c r="G73" s="156">
        <v>46</v>
      </c>
      <c r="H73" s="157">
        <f t="shared" si="5"/>
        <v>1110.3699999999999</v>
      </c>
      <c r="I73" s="157">
        <f t="shared" si="20"/>
        <v>1038.9100000000001</v>
      </c>
      <c r="J73" s="108">
        <f t="shared" si="2"/>
        <v>47789.86</v>
      </c>
      <c r="K73" s="158">
        <f t="shared" si="11"/>
        <v>51077.02</v>
      </c>
      <c r="L73" s="159">
        <f t="shared" si="22"/>
        <v>-3287.1599999999962</v>
      </c>
      <c r="M73" s="108">
        <f t="shared" si="7"/>
        <v>254.24793892143461</v>
      </c>
      <c r="N73" s="160">
        <f t="shared" si="8"/>
        <v>-3032.9120610785617</v>
      </c>
      <c r="O73" s="108">
        <v>0</v>
      </c>
      <c r="P73" s="108">
        <v>0</v>
      </c>
      <c r="Q73" s="108">
        <v>0</v>
      </c>
      <c r="R73" s="160">
        <f t="shared" si="9"/>
        <v>-3032.9120610785617</v>
      </c>
    </row>
    <row r="74" spans="1:18" x14ac:dyDescent="0.2">
      <c r="A74" s="89">
        <v>7</v>
      </c>
      <c r="B74" s="154">
        <f t="shared" si="4"/>
        <v>45839</v>
      </c>
      <c r="C74" s="171">
        <f t="shared" si="21"/>
        <v>45874</v>
      </c>
      <c r="D74" s="171">
        <f t="shared" si="21"/>
        <v>45894</v>
      </c>
      <c r="E74" s="161" t="s">
        <v>83</v>
      </c>
      <c r="F74" s="89">
        <v>9</v>
      </c>
      <c r="G74" s="156">
        <v>55</v>
      </c>
      <c r="H74" s="157">
        <f t="shared" si="5"/>
        <v>1110.3699999999999</v>
      </c>
      <c r="I74" s="157">
        <f t="shared" si="20"/>
        <v>1038.9100000000001</v>
      </c>
      <c r="J74" s="108">
        <f t="shared" si="2"/>
        <v>57140.05</v>
      </c>
      <c r="K74" s="158">
        <f t="shared" si="11"/>
        <v>61070.349999999991</v>
      </c>
      <c r="L74" s="159">
        <f t="shared" si="22"/>
        <v>-3930.2999999999884</v>
      </c>
      <c r="M74" s="108">
        <f t="shared" si="7"/>
        <v>303.99210088432403</v>
      </c>
      <c r="N74" s="160">
        <f t="shared" si="8"/>
        <v>-3626.3078991156644</v>
      </c>
      <c r="O74" s="108">
        <v>0</v>
      </c>
      <c r="P74" s="108">
        <v>0</v>
      </c>
      <c r="Q74" s="108">
        <v>0</v>
      </c>
      <c r="R74" s="160">
        <f t="shared" si="9"/>
        <v>-3626.3078991156644</v>
      </c>
    </row>
    <row r="75" spans="1:18" x14ac:dyDescent="0.2">
      <c r="A75" s="89">
        <v>8</v>
      </c>
      <c r="B75" s="154">
        <f t="shared" si="4"/>
        <v>45870</v>
      </c>
      <c r="C75" s="171">
        <f t="shared" si="21"/>
        <v>45904</v>
      </c>
      <c r="D75" s="171">
        <f t="shared" si="21"/>
        <v>45924</v>
      </c>
      <c r="E75" s="161" t="s">
        <v>83</v>
      </c>
      <c r="F75" s="89">
        <v>9</v>
      </c>
      <c r="G75" s="156">
        <v>55</v>
      </c>
      <c r="H75" s="157">
        <f t="shared" si="5"/>
        <v>1110.3699999999999</v>
      </c>
      <c r="I75" s="157">
        <f t="shared" si="20"/>
        <v>1038.9100000000001</v>
      </c>
      <c r="J75" s="108">
        <f t="shared" si="2"/>
        <v>57140.05</v>
      </c>
      <c r="K75" s="158">
        <f t="shared" si="11"/>
        <v>61070.349999999991</v>
      </c>
      <c r="L75" s="159">
        <f t="shared" si="22"/>
        <v>-3930.2999999999884</v>
      </c>
      <c r="M75" s="108">
        <f t="shared" si="7"/>
        <v>303.99210088432403</v>
      </c>
      <c r="N75" s="160">
        <f t="shared" si="8"/>
        <v>-3626.3078991156644</v>
      </c>
      <c r="O75" s="108">
        <v>0</v>
      </c>
      <c r="P75" s="108">
        <v>0</v>
      </c>
      <c r="Q75" s="108">
        <v>0</v>
      </c>
      <c r="R75" s="160">
        <f t="shared" si="9"/>
        <v>-3626.3078991156644</v>
      </c>
    </row>
    <row r="76" spans="1:18" x14ac:dyDescent="0.2">
      <c r="A76" s="89">
        <v>9</v>
      </c>
      <c r="B76" s="154">
        <f t="shared" si="4"/>
        <v>45901</v>
      </c>
      <c r="C76" s="171">
        <f t="shared" si="21"/>
        <v>45933</v>
      </c>
      <c r="D76" s="171">
        <f t="shared" si="21"/>
        <v>45954</v>
      </c>
      <c r="E76" s="161" t="s">
        <v>83</v>
      </c>
      <c r="F76" s="89">
        <v>9</v>
      </c>
      <c r="G76" s="156">
        <v>44</v>
      </c>
      <c r="H76" s="157">
        <f t="shared" si="5"/>
        <v>1110.3699999999999</v>
      </c>
      <c r="I76" s="157">
        <f t="shared" si="20"/>
        <v>1038.9100000000001</v>
      </c>
      <c r="J76" s="108">
        <f t="shared" si="2"/>
        <v>45712.04</v>
      </c>
      <c r="K76" s="158">
        <f t="shared" si="11"/>
        <v>48856.28</v>
      </c>
      <c r="L76" s="159">
        <f t="shared" si="22"/>
        <v>-3144.239999999998</v>
      </c>
      <c r="M76" s="108">
        <f t="shared" si="7"/>
        <v>243.19368070745921</v>
      </c>
      <c r="N76" s="160">
        <f t="shared" si="8"/>
        <v>-2901.0463192925386</v>
      </c>
      <c r="O76" s="108">
        <v>0</v>
      </c>
      <c r="P76" s="108">
        <v>0</v>
      </c>
      <c r="Q76" s="108">
        <v>0</v>
      </c>
      <c r="R76" s="160">
        <f t="shared" si="9"/>
        <v>-2901.0463192925386</v>
      </c>
    </row>
    <row r="77" spans="1:18" x14ac:dyDescent="0.2">
      <c r="A77" s="89">
        <v>10</v>
      </c>
      <c r="B77" s="154">
        <f t="shared" si="4"/>
        <v>45931</v>
      </c>
      <c r="C77" s="171">
        <f t="shared" si="21"/>
        <v>45966</v>
      </c>
      <c r="D77" s="171">
        <f t="shared" si="21"/>
        <v>45985</v>
      </c>
      <c r="E77" s="161" t="s">
        <v>83</v>
      </c>
      <c r="F77" s="89">
        <v>9</v>
      </c>
      <c r="G77" s="156">
        <v>34</v>
      </c>
      <c r="H77" s="157">
        <f t="shared" si="5"/>
        <v>1110.3699999999999</v>
      </c>
      <c r="I77" s="157">
        <f t="shared" si="20"/>
        <v>1038.9100000000001</v>
      </c>
      <c r="J77" s="108">
        <f t="shared" si="2"/>
        <v>35322.94</v>
      </c>
      <c r="K77" s="158">
        <f t="shared" si="11"/>
        <v>37752.579999999994</v>
      </c>
      <c r="L77" s="159">
        <f t="shared" si="22"/>
        <v>-2429.6399999999921</v>
      </c>
      <c r="M77" s="108">
        <f t="shared" si="7"/>
        <v>187.92238963758209</v>
      </c>
      <c r="N77" s="160">
        <f t="shared" si="8"/>
        <v>-2241.7176103624101</v>
      </c>
      <c r="O77" s="108">
        <v>0</v>
      </c>
      <c r="P77" s="108">
        <v>0</v>
      </c>
      <c r="Q77" s="108">
        <v>0</v>
      </c>
      <c r="R77" s="160">
        <f t="shared" si="9"/>
        <v>-2241.7176103624101</v>
      </c>
    </row>
    <row r="78" spans="1:18" x14ac:dyDescent="0.2">
      <c r="A78" s="89">
        <v>11</v>
      </c>
      <c r="B78" s="154">
        <f t="shared" si="4"/>
        <v>45962</v>
      </c>
      <c r="C78" s="171">
        <f t="shared" si="21"/>
        <v>45994</v>
      </c>
      <c r="D78" s="171">
        <f t="shared" si="21"/>
        <v>46015</v>
      </c>
      <c r="E78" s="161" t="s">
        <v>83</v>
      </c>
      <c r="F78" s="89">
        <v>9</v>
      </c>
      <c r="G78" s="156">
        <v>35</v>
      </c>
      <c r="H78" s="157">
        <f t="shared" si="5"/>
        <v>1110.3699999999999</v>
      </c>
      <c r="I78" s="157">
        <f t="shared" si="20"/>
        <v>1038.9100000000001</v>
      </c>
      <c r="J78" s="108">
        <f t="shared" si="2"/>
        <v>36361.850000000006</v>
      </c>
      <c r="K78" s="158">
        <f>+$G78*H78</f>
        <v>38862.949999999997</v>
      </c>
      <c r="L78" s="159">
        <f t="shared" si="22"/>
        <v>-2501.0999999999913</v>
      </c>
      <c r="M78" s="108">
        <f t="shared" si="7"/>
        <v>193.44951874456981</v>
      </c>
      <c r="N78" s="160">
        <f t="shared" si="8"/>
        <v>-2307.6504812554213</v>
      </c>
      <c r="O78" s="108">
        <v>0</v>
      </c>
      <c r="P78" s="108">
        <v>0</v>
      </c>
      <c r="Q78" s="108">
        <v>0</v>
      </c>
      <c r="R78" s="160">
        <f t="shared" si="9"/>
        <v>-2307.6504812554213</v>
      </c>
    </row>
    <row r="79" spans="1:18" s="175" customFormat="1" x14ac:dyDescent="0.2">
      <c r="A79" s="89">
        <v>12</v>
      </c>
      <c r="B79" s="173">
        <f t="shared" si="4"/>
        <v>45992</v>
      </c>
      <c r="C79" s="176">
        <f t="shared" si="21"/>
        <v>46028</v>
      </c>
      <c r="D79" s="176">
        <f t="shared" si="21"/>
        <v>46048</v>
      </c>
      <c r="E79" s="177" t="s">
        <v>83</v>
      </c>
      <c r="F79" s="131">
        <v>9</v>
      </c>
      <c r="G79" s="162">
        <v>39</v>
      </c>
      <c r="H79" s="163">
        <f t="shared" si="5"/>
        <v>1110.3699999999999</v>
      </c>
      <c r="I79" s="163">
        <f t="shared" si="20"/>
        <v>1038.9100000000001</v>
      </c>
      <c r="J79" s="164">
        <f t="shared" si="2"/>
        <v>40517.490000000005</v>
      </c>
      <c r="K79" s="165">
        <f>+$G79*H79</f>
        <v>43304.429999999993</v>
      </c>
      <c r="L79" s="166">
        <f t="shared" si="22"/>
        <v>-2786.9399999999878</v>
      </c>
      <c r="M79" s="164">
        <f t="shared" si="7"/>
        <v>215.55803517252065</v>
      </c>
      <c r="N79" s="185">
        <f t="shared" si="8"/>
        <v>-2571.3819648274671</v>
      </c>
      <c r="O79" s="164">
        <v>0</v>
      </c>
      <c r="P79" s="164">
        <v>0</v>
      </c>
      <c r="Q79" s="164">
        <v>0</v>
      </c>
      <c r="R79" s="185">
        <f t="shared" si="9"/>
        <v>-2571.3819648274671</v>
      </c>
    </row>
    <row r="80" spans="1:18" ht="12.75" customHeight="1" x14ac:dyDescent="0.2">
      <c r="A80" s="89">
        <v>1</v>
      </c>
      <c r="B80" s="154">
        <f t="shared" si="4"/>
        <v>45658</v>
      </c>
      <c r="C80" s="168">
        <f t="shared" ref="C80:D91" si="23">+C56</f>
        <v>45693</v>
      </c>
      <c r="D80" s="168">
        <f t="shared" si="23"/>
        <v>45712</v>
      </c>
      <c r="E80" s="155" t="s">
        <v>9</v>
      </c>
      <c r="F80" s="89">
        <v>9</v>
      </c>
      <c r="G80" s="156">
        <v>67</v>
      </c>
      <c r="H80" s="157">
        <f t="shared" si="5"/>
        <v>1110.3699999999999</v>
      </c>
      <c r="I80" s="157">
        <f t="shared" si="20"/>
        <v>1038.9100000000001</v>
      </c>
      <c r="J80" s="108">
        <f t="shared" si="2"/>
        <v>69606.97</v>
      </c>
      <c r="K80" s="158">
        <f t="shared" si="11"/>
        <v>74394.789999999994</v>
      </c>
      <c r="L80" s="159">
        <f t="shared" si="19"/>
        <v>-4787.8199999999924</v>
      </c>
      <c r="M80" s="108">
        <f t="shared" si="7"/>
        <v>370.3176501681765</v>
      </c>
      <c r="N80" s="160">
        <f t="shared" si="8"/>
        <v>-4417.502349831816</v>
      </c>
      <c r="O80" s="108">
        <v>0</v>
      </c>
      <c r="P80" s="108">
        <v>0</v>
      </c>
      <c r="Q80" s="108">
        <v>0</v>
      </c>
      <c r="R80" s="160">
        <f t="shared" si="9"/>
        <v>-4417.502349831816</v>
      </c>
    </row>
    <row r="81" spans="1:18" x14ac:dyDescent="0.2">
      <c r="A81" s="89">
        <v>2</v>
      </c>
      <c r="B81" s="154">
        <f t="shared" si="4"/>
        <v>45689</v>
      </c>
      <c r="C81" s="171">
        <f t="shared" si="23"/>
        <v>45721</v>
      </c>
      <c r="D81" s="171">
        <f t="shared" si="23"/>
        <v>45740</v>
      </c>
      <c r="E81" s="161" t="s">
        <v>9</v>
      </c>
      <c r="F81" s="89">
        <v>9</v>
      </c>
      <c r="G81" s="156">
        <v>71</v>
      </c>
      <c r="H81" s="157">
        <f t="shared" si="5"/>
        <v>1110.3699999999999</v>
      </c>
      <c r="I81" s="157">
        <f t="shared" si="20"/>
        <v>1038.9100000000001</v>
      </c>
      <c r="J81" s="108">
        <f t="shared" si="2"/>
        <v>73762.61</v>
      </c>
      <c r="K81" s="158">
        <f t="shared" si="11"/>
        <v>78836.26999999999</v>
      </c>
      <c r="L81" s="159">
        <f t="shared" si="19"/>
        <v>-5073.6599999999889</v>
      </c>
      <c r="M81" s="108">
        <f t="shared" si="7"/>
        <v>392.42616659612736</v>
      </c>
      <c r="N81" s="160">
        <f t="shared" si="8"/>
        <v>-4681.2338334038614</v>
      </c>
      <c r="O81" s="108">
        <v>0</v>
      </c>
      <c r="P81" s="108">
        <v>0</v>
      </c>
      <c r="Q81" s="108">
        <v>0</v>
      </c>
      <c r="R81" s="160">
        <f t="shared" si="9"/>
        <v>-4681.2338334038614</v>
      </c>
    </row>
    <row r="82" spans="1:18" x14ac:dyDescent="0.2">
      <c r="A82" s="89">
        <v>3</v>
      </c>
      <c r="B82" s="154">
        <f t="shared" si="4"/>
        <v>45717</v>
      </c>
      <c r="C82" s="171">
        <f t="shared" si="23"/>
        <v>45750</v>
      </c>
      <c r="D82" s="171">
        <f t="shared" si="23"/>
        <v>45771</v>
      </c>
      <c r="E82" s="161" t="s">
        <v>9</v>
      </c>
      <c r="F82" s="89">
        <v>9</v>
      </c>
      <c r="G82" s="156">
        <v>49</v>
      </c>
      <c r="H82" s="157">
        <f t="shared" si="5"/>
        <v>1110.3699999999999</v>
      </c>
      <c r="I82" s="157">
        <f t="shared" si="20"/>
        <v>1038.9100000000001</v>
      </c>
      <c r="J82" s="108">
        <f t="shared" si="2"/>
        <v>50906.590000000004</v>
      </c>
      <c r="K82" s="158">
        <f t="shared" si="11"/>
        <v>54408.13</v>
      </c>
      <c r="L82" s="159">
        <f>+J82-K82</f>
        <v>-3501.5399999999936</v>
      </c>
      <c r="M82" s="108">
        <f t="shared" si="7"/>
        <v>270.82932624239771</v>
      </c>
      <c r="N82" s="160">
        <f t="shared" si="8"/>
        <v>-3230.7106737575959</v>
      </c>
      <c r="O82" s="108">
        <v>0</v>
      </c>
      <c r="P82" s="108">
        <v>0</v>
      </c>
      <c r="Q82" s="108">
        <v>0</v>
      </c>
      <c r="R82" s="160">
        <f t="shared" si="9"/>
        <v>-3230.7106737575959</v>
      </c>
    </row>
    <row r="83" spans="1:18" ht="12" customHeight="1" x14ac:dyDescent="0.2">
      <c r="A83" s="89">
        <v>4</v>
      </c>
      <c r="B83" s="154">
        <f t="shared" si="4"/>
        <v>45748</v>
      </c>
      <c r="C83" s="171">
        <f t="shared" si="23"/>
        <v>45782</v>
      </c>
      <c r="D83" s="171">
        <f t="shared" si="23"/>
        <v>45803</v>
      </c>
      <c r="E83" s="1" t="s">
        <v>9</v>
      </c>
      <c r="F83" s="89">
        <v>9</v>
      </c>
      <c r="G83" s="156">
        <v>37</v>
      </c>
      <c r="H83" s="157">
        <f t="shared" si="5"/>
        <v>1110.3699999999999</v>
      </c>
      <c r="I83" s="157">
        <f t="shared" si="20"/>
        <v>1038.9100000000001</v>
      </c>
      <c r="J83" s="108">
        <f t="shared" si="2"/>
        <v>38439.670000000006</v>
      </c>
      <c r="K83" s="158">
        <f t="shared" si="11"/>
        <v>41083.689999999995</v>
      </c>
      <c r="L83" s="159">
        <f t="shared" ref="L83:L93" si="24">+J83-K83</f>
        <v>-2644.0199999999895</v>
      </c>
      <c r="M83" s="108">
        <f t="shared" si="7"/>
        <v>204.50377695854522</v>
      </c>
      <c r="N83" s="160">
        <f t="shared" si="8"/>
        <v>-2439.5162230414444</v>
      </c>
      <c r="O83" s="108">
        <v>0</v>
      </c>
      <c r="P83" s="108">
        <v>0</v>
      </c>
      <c r="Q83" s="108">
        <v>0</v>
      </c>
      <c r="R83" s="160">
        <f t="shared" si="9"/>
        <v>-2439.5162230414444</v>
      </c>
    </row>
    <row r="84" spans="1:18" ht="12" customHeight="1" x14ac:dyDescent="0.2">
      <c r="A84" s="89">
        <v>5</v>
      </c>
      <c r="B84" s="154">
        <f t="shared" si="4"/>
        <v>45778</v>
      </c>
      <c r="C84" s="171">
        <f t="shared" si="23"/>
        <v>45812</v>
      </c>
      <c r="D84" s="171">
        <f t="shared" si="23"/>
        <v>45832</v>
      </c>
      <c r="E84" s="1" t="s">
        <v>9</v>
      </c>
      <c r="F84" s="89">
        <v>9</v>
      </c>
      <c r="G84" s="156">
        <v>50</v>
      </c>
      <c r="H84" s="157">
        <f t="shared" si="5"/>
        <v>1110.3699999999999</v>
      </c>
      <c r="I84" s="157">
        <f t="shared" si="20"/>
        <v>1038.9100000000001</v>
      </c>
      <c r="J84" s="108">
        <f t="shared" si="2"/>
        <v>51945.500000000007</v>
      </c>
      <c r="K84" s="158">
        <f t="shared" si="11"/>
        <v>55518.499999999993</v>
      </c>
      <c r="L84" s="159">
        <f t="shared" si="24"/>
        <v>-3572.9999999999854</v>
      </c>
      <c r="M84" s="108">
        <f t="shared" si="7"/>
        <v>276.35645534938544</v>
      </c>
      <c r="N84" s="160">
        <f t="shared" si="8"/>
        <v>-3296.6435446506002</v>
      </c>
      <c r="O84" s="108">
        <v>0</v>
      </c>
      <c r="P84" s="108">
        <v>0</v>
      </c>
      <c r="Q84" s="108">
        <v>0</v>
      </c>
      <c r="R84" s="160">
        <f t="shared" si="9"/>
        <v>-3296.6435446506002</v>
      </c>
    </row>
    <row r="85" spans="1:18" x14ac:dyDescent="0.2">
      <c r="A85" s="89">
        <v>6</v>
      </c>
      <c r="B85" s="154">
        <f t="shared" si="4"/>
        <v>45809</v>
      </c>
      <c r="C85" s="171">
        <f t="shared" si="23"/>
        <v>45841</v>
      </c>
      <c r="D85" s="171">
        <f t="shared" si="23"/>
        <v>45862</v>
      </c>
      <c r="E85" s="1" t="s">
        <v>9</v>
      </c>
      <c r="F85" s="89">
        <v>9</v>
      </c>
      <c r="G85" s="156">
        <v>54</v>
      </c>
      <c r="H85" s="157">
        <f t="shared" ref="H85:H148" si="25">+$K$3</f>
        <v>1110.3699999999999</v>
      </c>
      <c r="I85" s="157">
        <f t="shared" si="20"/>
        <v>1038.9100000000001</v>
      </c>
      <c r="J85" s="108">
        <f t="shared" si="2"/>
        <v>56101.140000000007</v>
      </c>
      <c r="K85" s="158">
        <f t="shared" si="11"/>
        <v>59959.979999999996</v>
      </c>
      <c r="L85" s="159">
        <f t="shared" si="24"/>
        <v>-3858.8399999999892</v>
      </c>
      <c r="M85" s="108">
        <f t="shared" ref="M85:M148" si="26">G85/$G$212*$M$14</f>
        <v>298.4649717773363</v>
      </c>
      <c r="N85" s="160">
        <f t="shared" ref="N85:N148" si="27">SUM(L85:M85)</f>
        <v>-3560.3750282226529</v>
      </c>
      <c r="O85" s="108">
        <v>0</v>
      </c>
      <c r="P85" s="108">
        <v>0</v>
      </c>
      <c r="Q85" s="108">
        <v>0</v>
      </c>
      <c r="R85" s="160">
        <f t="shared" ref="R85:R148" si="28">+N85-Q85</f>
        <v>-3560.3750282226529</v>
      </c>
    </row>
    <row r="86" spans="1:18" x14ac:dyDescent="0.2">
      <c r="A86" s="89">
        <v>7</v>
      </c>
      <c r="B86" s="154">
        <f t="shared" si="4"/>
        <v>45839</v>
      </c>
      <c r="C86" s="171">
        <f t="shared" si="23"/>
        <v>45874</v>
      </c>
      <c r="D86" s="171">
        <f t="shared" si="23"/>
        <v>45894</v>
      </c>
      <c r="E86" s="1" t="s">
        <v>9</v>
      </c>
      <c r="F86" s="89">
        <v>9</v>
      </c>
      <c r="G86" s="156">
        <v>62</v>
      </c>
      <c r="H86" s="157">
        <f t="shared" si="25"/>
        <v>1110.3699999999999</v>
      </c>
      <c r="I86" s="157">
        <f t="shared" si="20"/>
        <v>1038.9100000000001</v>
      </c>
      <c r="J86" s="108">
        <f t="shared" si="2"/>
        <v>64412.420000000006</v>
      </c>
      <c r="K86" s="158">
        <f t="shared" si="11"/>
        <v>68842.939999999988</v>
      </c>
      <c r="L86" s="159">
        <f t="shared" si="24"/>
        <v>-4430.5199999999822</v>
      </c>
      <c r="M86" s="108">
        <f t="shared" si="26"/>
        <v>342.68200463323797</v>
      </c>
      <c r="N86" s="160">
        <f t="shared" si="27"/>
        <v>-4087.8379953667445</v>
      </c>
      <c r="O86" s="108">
        <v>0</v>
      </c>
      <c r="P86" s="108">
        <v>0</v>
      </c>
      <c r="Q86" s="108">
        <v>0</v>
      </c>
      <c r="R86" s="160">
        <f t="shared" si="28"/>
        <v>-4087.8379953667445</v>
      </c>
    </row>
    <row r="87" spans="1:18" x14ac:dyDescent="0.2">
      <c r="A87" s="89">
        <v>8</v>
      </c>
      <c r="B87" s="154">
        <f t="shared" si="4"/>
        <v>45870</v>
      </c>
      <c r="C87" s="171">
        <f t="shared" si="23"/>
        <v>45904</v>
      </c>
      <c r="D87" s="171">
        <f t="shared" si="23"/>
        <v>45924</v>
      </c>
      <c r="E87" s="1" t="s">
        <v>9</v>
      </c>
      <c r="F87" s="89">
        <v>9</v>
      </c>
      <c r="G87" s="156">
        <v>55</v>
      </c>
      <c r="H87" s="157">
        <f t="shared" si="25"/>
        <v>1110.3699999999999</v>
      </c>
      <c r="I87" s="157">
        <f t="shared" si="20"/>
        <v>1038.9100000000001</v>
      </c>
      <c r="J87" s="108">
        <f t="shared" si="2"/>
        <v>57140.05</v>
      </c>
      <c r="K87" s="158">
        <f t="shared" si="11"/>
        <v>61070.349999999991</v>
      </c>
      <c r="L87" s="159">
        <f t="shared" si="24"/>
        <v>-3930.2999999999884</v>
      </c>
      <c r="M87" s="108">
        <f t="shared" si="26"/>
        <v>303.99210088432403</v>
      </c>
      <c r="N87" s="160">
        <f t="shared" si="27"/>
        <v>-3626.3078991156644</v>
      </c>
      <c r="O87" s="108">
        <v>0</v>
      </c>
      <c r="P87" s="108">
        <v>0</v>
      </c>
      <c r="Q87" s="108">
        <v>0</v>
      </c>
      <c r="R87" s="160">
        <f t="shared" si="28"/>
        <v>-3626.3078991156644</v>
      </c>
    </row>
    <row r="88" spans="1:18" x14ac:dyDescent="0.2">
      <c r="A88" s="89">
        <v>9</v>
      </c>
      <c r="B88" s="154">
        <f t="shared" si="4"/>
        <v>45901</v>
      </c>
      <c r="C88" s="171">
        <f t="shared" si="23"/>
        <v>45933</v>
      </c>
      <c r="D88" s="171">
        <f t="shared" si="23"/>
        <v>45954</v>
      </c>
      <c r="E88" s="1" t="s">
        <v>9</v>
      </c>
      <c r="F88" s="89">
        <v>9</v>
      </c>
      <c r="G88" s="156">
        <v>50</v>
      </c>
      <c r="H88" s="157">
        <f t="shared" si="25"/>
        <v>1110.3699999999999</v>
      </c>
      <c r="I88" s="157">
        <f t="shared" si="20"/>
        <v>1038.9100000000001</v>
      </c>
      <c r="J88" s="108">
        <f t="shared" si="2"/>
        <v>51945.500000000007</v>
      </c>
      <c r="K88" s="158">
        <f t="shared" si="11"/>
        <v>55518.499999999993</v>
      </c>
      <c r="L88" s="159">
        <f t="shared" si="24"/>
        <v>-3572.9999999999854</v>
      </c>
      <c r="M88" s="108">
        <f t="shared" si="26"/>
        <v>276.35645534938544</v>
      </c>
      <c r="N88" s="160">
        <f t="shared" si="27"/>
        <v>-3296.6435446506002</v>
      </c>
      <c r="O88" s="108">
        <v>0</v>
      </c>
      <c r="P88" s="108">
        <v>0</v>
      </c>
      <c r="Q88" s="108">
        <v>0</v>
      </c>
      <c r="R88" s="160">
        <f t="shared" si="28"/>
        <v>-3296.6435446506002</v>
      </c>
    </row>
    <row r="89" spans="1:18" x14ac:dyDescent="0.2">
      <c r="A89" s="89">
        <v>10</v>
      </c>
      <c r="B89" s="154">
        <f t="shared" si="4"/>
        <v>45931</v>
      </c>
      <c r="C89" s="171">
        <f t="shared" si="23"/>
        <v>45966</v>
      </c>
      <c r="D89" s="171">
        <f t="shared" si="23"/>
        <v>45985</v>
      </c>
      <c r="E89" s="1" t="s">
        <v>9</v>
      </c>
      <c r="F89" s="89">
        <v>9</v>
      </c>
      <c r="G89" s="156">
        <v>47</v>
      </c>
      <c r="H89" s="157">
        <f t="shared" si="25"/>
        <v>1110.3699999999999</v>
      </c>
      <c r="I89" s="157">
        <f t="shared" si="20"/>
        <v>1038.9100000000001</v>
      </c>
      <c r="J89" s="108">
        <f t="shared" si="2"/>
        <v>48828.770000000004</v>
      </c>
      <c r="K89" s="158">
        <f t="shared" si="11"/>
        <v>52187.389999999992</v>
      </c>
      <c r="L89" s="159">
        <f t="shared" si="24"/>
        <v>-3358.6199999999881</v>
      </c>
      <c r="M89" s="108">
        <f t="shared" si="26"/>
        <v>259.77506802842231</v>
      </c>
      <c r="N89" s="160">
        <f t="shared" si="27"/>
        <v>-3098.8449319715655</v>
      </c>
      <c r="O89" s="108">
        <v>0</v>
      </c>
      <c r="P89" s="108">
        <v>0</v>
      </c>
      <c r="Q89" s="108">
        <v>0</v>
      </c>
      <c r="R89" s="160">
        <f t="shared" si="28"/>
        <v>-3098.8449319715655</v>
      </c>
    </row>
    <row r="90" spans="1:18" x14ac:dyDescent="0.2">
      <c r="A90" s="89">
        <v>11</v>
      </c>
      <c r="B90" s="154">
        <f t="shared" si="4"/>
        <v>45962</v>
      </c>
      <c r="C90" s="171">
        <f t="shared" si="23"/>
        <v>45994</v>
      </c>
      <c r="D90" s="171">
        <f t="shared" si="23"/>
        <v>46015</v>
      </c>
      <c r="E90" s="1" t="s">
        <v>9</v>
      </c>
      <c r="F90" s="89">
        <v>9</v>
      </c>
      <c r="G90" s="156">
        <v>48</v>
      </c>
      <c r="H90" s="157">
        <f t="shared" si="25"/>
        <v>1110.3699999999999</v>
      </c>
      <c r="I90" s="157">
        <f t="shared" si="20"/>
        <v>1038.9100000000001</v>
      </c>
      <c r="J90" s="108">
        <f t="shared" si="2"/>
        <v>49867.680000000008</v>
      </c>
      <c r="K90" s="158">
        <f t="shared" si="11"/>
        <v>53297.759999999995</v>
      </c>
      <c r="L90" s="159">
        <f t="shared" si="24"/>
        <v>-3430.0799999999872</v>
      </c>
      <c r="M90" s="108">
        <f t="shared" si="26"/>
        <v>265.30219713541004</v>
      </c>
      <c r="N90" s="160">
        <f t="shared" si="27"/>
        <v>-3164.7778028645771</v>
      </c>
      <c r="O90" s="108">
        <v>0</v>
      </c>
      <c r="P90" s="108">
        <v>0</v>
      </c>
      <c r="Q90" s="108">
        <v>0</v>
      </c>
      <c r="R90" s="160">
        <f t="shared" si="28"/>
        <v>-3164.7778028645771</v>
      </c>
    </row>
    <row r="91" spans="1:18" s="175" customFormat="1" x14ac:dyDescent="0.2">
      <c r="A91" s="89">
        <v>12</v>
      </c>
      <c r="B91" s="173">
        <f t="shared" si="4"/>
        <v>45992</v>
      </c>
      <c r="C91" s="171">
        <f t="shared" si="23"/>
        <v>46028</v>
      </c>
      <c r="D91" s="171">
        <f t="shared" si="23"/>
        <v>46048</v>
      </c>
      <c r="E91" s="174" t="s">
        <v>9</v>
      </c>
      <c r="F91" s="131">
        <v>9</v>
      </c>
      <c r="G91" s="162">
        <v>58</v>
      </c>
      <c r="H91" s="163">
        <f t="shared" si="25"/>
        <v>1110.3699999999999</v>
      </c>
      <c r="I91" s="163">
        <f t="shared" si="20"/>
        <v>1038.9100000000001</v>
      </c>
      <c r="J91" s="164">
        <f t="shared" si="2"/>
        <v>60256.780000000006</v>
      </c>
      <c r="K91" s="165">
        <f t="shared" si="11"/>
        <v>64401.459999999992</v>
      </c>
      <c r="L91" s="166">
        <f t="shared" si="24"/>
        <v>-4144.6799999999857</v>
      </c>
      <c r="M91" s="164">
        <f t="shared" si="26"/>
        <v>320.57348820528711</v>
      </c>
      <c r="N91" s="185">
        <f t="shared" si="27"/>
        <v>-3824.1065117946987</v>
      </c>
      <c r="O91" s="164">
        <v>0</v>
      </c>
      <c r="P91" s="164">
        <v>0</v>
      </c>
      <c r="Q91" s="164">
        <v>0</v>
      </c>
      <c r="R91" s="185">
        <f t="shared" si="28"/>
        <v>-3824.1065117946987</v>
      </c>
    </row>
    <row r="92" spans="1:18" x14ac:dyDescent="0.2">
      <c r="A92" s="89">
        <v>1</v>
      </c>
      <c r="B92" s="154">
        <f t="shared" si="4"/>
        <v>45658</v>
      </c>
      <c r="C92" s="168">
        <f t="shared" ref="C92:D95" si="29">+C80</f>
        <v>45693</v>
      </c>
      <c r="D92" s="168">
        <f t="shared" si="29"/>
        <v>45712</v>
      </c>
      <c r="E92" s="155" t="s">
        <v>8</v>
      </c>
      <c r="F92" s="89">
        <v>9</v>
      </c>
      <c r="G92" s="156">
        <v>89</v>
      </c>
      <c r="H92" s="157">
        <f t="shared" si="25"/>
        <v>1110.3699999999999</v>
      </c>
      <c r="I92" s="157">
        <f t="shared" si="20"/>
        <v>1038.9100000000001</v>
      </c>
      <c r="J92" s="108">
        <f t="shared" si="2"/>
        <v>92462.99</v>
      </c>
      <c r="K92" s="158">
        <f t="shared" si="11"/>
        <v>98822.93</v>
      </c>
      <c r="L92" s="159">
        <f t="shared" si="24"/>
        <v>-6359.9399999999878</v>
      </c>
      <c r="M92" s="108">
        <f t="shared" si="26"/>
        <v>491.91449052190609</v>
      </c>
      <c r="N92" s="160">
        <f t="shared" si="27"/>
        <v>-5868.0255094780814</v>
      </c>
      <c r="O92" s="108">
        <v>0</v>
      </c>
      <c r="P92" s="108">
        <v>0</v>
      </c>
      <c r="Q92" s="108">
        <v>0</v>
      </c>
      <c r="R92" s="160">
        <f t="shared" si="28"/>
        <v>-5868.0255094780814</v>
      </c>
    </row>
    <row r="93" spans="1:18" x14ac:dyDescent="0.2">
      <c r="A93" s="89">
        <v>2</v>
      </c>
      <c r="B93" s="154">
        <f t="shared" si="4"/>
        <v>45689</v>
      </c>
      <c r="C93" s="171">
        <f t="shared" si="29"/>
        <v>45721</v>
      </c>
      <c r="D93" s="171">
        <f t="shared" si="29"/>
        <v>45740</v>
      </c>
      <c r="E93" s="161" t="s">
        <v>8</v>
      </c>
      <c r="F93" s="89">
        <v>9</v>
      </c>
      <c r="G93" s="156">
        <v>102</v>
      </c>
      <c r="H93" s="157">
        <f t="shared" si="25"/>
        <v>1110.3699999999999</v>
      </c>
      <c r="I93" s="157">
        <f t="shared" si="20"/>
        <v>1038.9100000000001</v>
      </c>
      <c r="J93" s="108">
        <f t="shared" si="2"/>
        <v>105968.82</v>
      </c>
      <c r="K93" s="158">
        <f t="shared" si="11"/>
        <v>113257.73999999999</v>
      </c>
      <c r="L93" s="159">
        <f t="shared" si="24"/>
        <v>-7288.9199999999837</v>
      </c>
      <c r="M93" s="108">
        <f t="shared" si="26"/>
        <v>563.76716891274634</v>
      </c>
      <c r="N93" s="160">
        <f t="shared" si="27"/>
        <v>-6725.1528310872372</v>
      </c>
      <c r="O93" s="108">
        <v>0</v>
      </c>
      <c r="P93" s="108">
        <v>0</v>
      </c>
      <c r="Q93" s="108">
        <v>0</v>
      </c>
      <c r="R93" s="160">
        <f t="shared" si="28"/>
        <v>-6725.1528310872372</v>
      </c>
    </row>
    <row r="94" spans="1:18" x14ac:dyDescent="0.2">
      <c r="A94" s="89">
        <v>3</v>
      </c>
      <c r="B94" s="154">
        <f t="shared" si="4"/>
        <v>45717</v>
      </c>
      <c r="C94" s="171">
        <f t="shared" si="29"/>
        <v>45750</v>
      </c>
      <c r="D94" s="171">
        <f t="shared" si="29"/>
        <v>45771</v>
      </c>
      <c r="E94" s="161" t="s">
        <v>8</v>
      </c>
      <c r="F94" s="89">
        <v>9</v>
      </c>
      <c r="G94" s="156">
        <v>64</v>
      </c>
      <c r="H94" s="157">
        <f t="shared" si="25"/>
        <v>1110.3699999999999</v>
      </c>
      <c r="I94" s="157">
        <f t="shared" si="20"/>
        <v>1038.9100000000001</v>
      </c>
      <c r="J94" s="108">
        <f t="shared" si="2"/>
        <v>66490.240000000005</v>
      </c>
      <c r="K94" s="158">
        <f t="shared" ref="K94:K133" si="30">+$G94*H94</f>
        <v>71063.679999999993</v>
      </c>
      <c r="L94" s="159">
        <f>+J94-K94</f>
        <v>-4573.4399999999878</v>
      </c>
      <c r="M94" s="108">
        <f t="shared" si="26"/>
        <v>353.73626284721331</v>
      </c>
      <c r="N94" s="160">
        <f t="shared" si="27"/>
        <v>-4219.7037371527749</v>
      </c>
      <c r="O94" s="108">
        <v>0</v>
      </c>
      <c r="P94" s="108">
        <v>0</v>
      </c>
      <c r="Q94" s="108">
        <v>0</v>
      </c>
      <c r="R94" s="160">
        <f t="shared" si="28"/>
        <v>-4219.7037371527749</v>
      </c>
    </row>
    <row r="95" spans="1:18" x14ac:dyDescent="0.2">
      <c r="A95" s="89">
        <v>4</v>
      </c>
      <c r="B95" s="154">
        <f t="shared" si="4"/>
        <v>45748</v>
      </c>
      <c r="C95" s="171">
        <f t="shared" si="29"/>
        <v>45782</v>
      </c>
      <c r="D95" s="171">
        <f t="shared" si="29"/>
        <v>45803</v>
      </c>
      <c r="E95" s="161" t="s">
        <v>8</v>
      </c>
      <c r="F95" s="89">
        <v>9</v>
      </c>
      <c r="G95" s="156">
        <v>71</v>
      </c>
      <c r="H95" s="157">
        <f t="shared" si="25"/>
        <v>1110.3699999999999</v>
      </c>
      <c r="I95" s="157">
        <f t="shared" si="20"/>
        <v>1038.9100000000001</v>
      </c>
      <c r="J95" s="108">
        <f t="shared" si="2"/>
        <v>73762.61</v>
      </c>
      <c r="K95" s="158">
        <f t="shared" si="30"/>
        <v>78836.26999999999</v>
      </c>
      <c r="L95" s="159">
        <f t="shared" ref="L95:L105" si="31">+J95-K95</f>
        <v>-5073.6599999999889</v>
      </c>
      <c r="M95" s="108">
        <f t="shared" si="26"/>
        <v>392.42616659612736</v>
      </c>
      <c r="N95" s="160">
        <f t="shared" si="27"/>
        <v>-4681.2338334038614</v>
      </c>
      <c r="O95" s="108">
        <v>0</v>
      </c>
      <c r="P95" s="108">
        <v>0</v>
      </c>
      <c r="Q95" s="108">
        <v>0</v>
      </c>
      <c r="R95" s="160">
        <f t="shared" si="28"/>
        <v>-4681.2338334038614</v>
      </c>
    </row>
    <row r="96" spans="1:18" x14ac:dyDescent="0.2">
      <c r="A96" s="89">
        <v>5</v>
      </c>
      <c r="B96" s="154">
        <f t="shared" si="4"/>
        <v>45778</v>
      </c>
      <c r="C96" s="171">
        <f t="shared" ref="C96:D116" si="32">+C84</f>
        <v>45812</v>
      </c>
      <c r="D96" s="171">
        <f t="shared" si="32"/>
        <v>45832</v>
      </c>
      <c r="E96" s="1" t="s">
        <v>8</v>
      </c>
      <c r="F96" s="89">
        <v>9</v>
      </c>
      <c r="G96" s="156">
        <v>108</v>
      </c>
      <c r="H96" s="157">
        <f t="shared" si="25"/>
        <v>1110.3699999999999</v>
      </c>
      <c r="I96" s="157">
        <f t="shared" si="20"/>
        <v>1038.9100000000001</v>
      </c>
      <c r="J96" s="108">
        <f t="shared" si="2"/>
        <v>112202.28000000001</v>
      </c>
      <c r="K96" s="158">
        <f t="shared" si="30"/>
        <v>119919.95999999999</v>
      </c>
      <c r="L96" s="159">
        <f t="shared" si="31"/>
        <v>-7717.6799999999785</v>
      </c>
      <c r="M96" s="108">
        <f t="shared" si="26"/>
        <v>596.9299435546726</v>
      </c>
      <c r="N96" s="160">
        <f t="shared" si="27"/>
        <v>-7120.7500564453057</v>
      </c>
      <c r="O96" s="108">
        <v>0</v>
      </c>
      <c r="P96" s="108">
        <v>0</v>
      </c>
      <c r="Q96" s="108">
        <v>0</v>
      </c>
      <c r="R96" s="160">
        <f t="shared" si="28"/>
        <v>-7120.7500564453057</v>
      </c>
    </row>
    <row r="97" spans="1:18" x14ac:dyDescent="0.2">
      <c r="A97" s="89">
        <v>6</v>
      </c>
      <c r="B97" s="154">
        <f t="shared" si="4"/>
        <v>45809</v>
      </c>
      <c r="C97" s="171">
        <f t="shared" si="32"/>
        <v>45841</v>
      </c>
      <c r="D97" s="171">
        <f t="shared" si="32"/>
        <v>45862</v>
      </c>
      <c r="E97" s="1" t="s">
        <v>8</v>
      </c>
      <c r="F97" s="89">
        <v>9</v>
      </c>
      <c r="G97" s="156">
        <v>130</v>
      </c>
      <c r="H97" s="157">
        <f t="shared" si="25"/>
        <v>1110.3699999999999</v>
      </c>
      <c r="I97" s="157">
        <f t="shared" si="20"/>
        <v>1038.9100000000001</v>
      </c>
      <c r="J97" s="108">
        <f t="shared" si="2"/>
        <v>135058.30000000002</v>
      </c>
      <c r="K97" s="158">
        <f t="shared" si="30"/>
        <v>144348.09999999998</v>
      </c>
      <c r="L97" s="159">
        <f t="shared" si="31"/>
        <v>-9289.7999999999593</v>
      </c>
      <c r="M97" s="108">
        <f t="shared" si="26"/>
        <v>718.52678390840208</v>
      </c>
      <c r="N97" s="160">
        <f t="shared" si="27"/>
        <v>-8571.2732160915566</v>
      </c>
      <c r="O97" s="108">
        <v>0</v>
      </c>
      <c r="P97" s="108">
        <v>0</v>
      </c>
      <c r="Q97" s="108">
        <v>0</v>
      </c>
      <c r="R97" s="160">
        <f t="shared" si="28"/>
        <v>-8571.2732160915566</v>
      </c>
    </row>
    <row r="98" spans="1:18" x14ac:dyDescent="0.2">
      <c r="A98" s="89">
        <v>7</v>
      </c>
      <c r="B98" s="154">
        <f t="shared" si="4"/>
        <v>45839</v>
      </c>
      <c r="C98" s="171">
        <f t="shared" si="32"/>
        <v>45874</v>
      </c>
      <c r="D98" s="171">
        <f t="shared" si="32"/>
        <v>45894</v>
      </c>
      <c r="E98" s="1" t="s">
        <v>8</v>
      </c>
      <c r="F98" s="89">
        <v>9</v>
      </c>
      <c r="G98" s="156">
        <v>151</v>
      </c>
      <c r="H98" s="157">
        <f t="shared" si="25"/>
        <v>1110.3699999999999</v>
      </c>
      <c r="I98" s="157">
        <f t="shared" si="20"/>
        <v>1038.9100000000001</v>
      </c>
      <c r="J98" s="108">
        <f t="shared" si="2"/>
        <v>156875.41</v>
      </c>
      <c r="K98" s="158">
        <f t="shared" si="30"/>
        <v>167665.87</v>
      </c>
      <c r="L98" s="159">
        <f t="shared" si="31"/>
        <v>-10790.459999999992</v>
      </c>
      <c r="M98" s="108">
        <f t="shared" si="26"/>
        <v>834.59649515514411</v>
      </c>
      <c r="N98" s="160">
        <f t="shared" si="27"/>
        <v>-9955.8635048448486</v>
      </c>
      <c r="O98" s="108">
        <v>0</v>
      </c>
      <c r="P98" s="108">
        <v>0</v>
      </c>
      <c r="Q98" s="108">
        <v>0</v>
      </c>
      <c r="R98" s="160">
        <f t="shared" si="28"/>
        <v>-9955.8635048448486</v>
      </c>
    </row>
    <row r="99" spans="1:18" x14ac:dyDescent="0.2">
      <c r="A99" s="89">
        <v>8</v>
      </c>
      <c r="B99" s="154">
        <f t="shared" si="4"/>
        <v>45870</v>
      </c>
      <c r="C99" s="171">
        <f t="shared" si="32"/>
        <v>45904</v>
      </c>
      <c r="D99" s="171">
        <f t="shared" si="32"/>
        <v>45924</v>
      </c>
      <c r="E99" s="1" t="s">
        <v>8</v>
      </c>
      <c r="F99" s="89">
        <v>9</v>
      </c>
      <c r="G99" s="156">
        <v>145</v>
      </c>
      <c r="H99" s="157">
        <f t="shared" si="25"/>
        <v>1110.3699999999999</v>
      </c>
      <c r="I99" s="157">
        <f t="shared" si="20"/>
        <v>1038.9100000000001</v>
      </c>
      <c r="J99" s="108">
        <f t="shared" si="2"/>
        <v>150641.95000000001</v>
      </c>
      <c r="K99" s="158">
        <f t="shared" si="30"/>
        <v>161003.65</v>
      </c>
      <c r="L99" s="159">
        <f t="shared" si="31"/>
        <v>-10361.699999999983</v>
      </c>
      <c r="M99" s="108">
        <f t="shared" si="26"/>
        <v>801.43372051321774</v>
      </c>
      <c r="N99" s="160">
        <f t="shared" si="27"/>
        <v>-9560.2662794867647</v>
      </c>
      <c r="O99" s="108">
        <v>0</v>
      </c>
      <c r="P99" s="108">
        <v>0</v>
      </c>
      <c r="Q99" s="108">
        <v>0</v>
      </c>
      <c r="R99" s="160">
        <f t="shared" si="28"/>
        <v>-9560.2662794867647</v>
      </c>
    </row>
    <row r="100" spans="1:18" x14ac:dyDescent="0.2">
      <c r="A100" s="89">
        <v>9</v>
      </c>
      <c r="B100" s="154">
        <f t="shared" si="4"/>
        <v>45901</v>
      </c>
      <c r="C100" s="171">
        <f t="shared" si="32"/>
        <v>45933</v>
      </c>
      <c r="D100" s="171">
        <f t="shared" si="32"/>
        <v>45954</v>
      </c>
      <c r="E100" s="1" t="s">
        <v>8</v>
      </c>
      <c r="F100" s="89">
        <v>9</v>
      </c>
      <c r="G100" s="156">
        <v>126</v>
      </c>
      <c r="H100" s="157">
        <f t="shared" si="25"/>
        <v>1110.3699999999999</v>
      </c>
      <c r="I100" s="157">
        <f t="shared" si="20"/>
        <v>1038.9100000000001</v>
      </c>
      <c r="J100" s="108">
        <f t="shared" si="2"/>
        <v>130902.66</v>
      </c>
      <c r="K100" s="158">
        <f t="shared" si="30"/>
        <v>139906.62</v>
      </c>
      <c r="L100" s="159">
        <f t="shared" si="31"/>
        <v>-9003.9599999999919</v>
      </c>
      <c r="M100" s="108">
        <f t="shared" si="26"/>
        <v>696.41826748045139</v>
      </c>
      <c r="N100" s="160">
        <f t="shared" si="27"/>
        <v>-8307.5417325195413</v>
      </c>
      <c r="O100" s="108">
        <v>0</v>
      </c>
      <c r="P100" s="108">
        <v>0</v>
      </c>
      <c r="Q100" s="108">
        <v>0</v>
      </c>
      <c r="R100" s="160">
        <f t="shared" si="28"/>
        <v>-8307.5417325195413</v>
      </c>
    </row>
    <row r="101" spans="1:18" x14ac:dyDescent="0.2">
      <c r="A101" s="89">
        <v>10</v>
      </c>
      <c r="B101" s="154">
        <f t="shared" si="4"/>
        <v>45931</v>
      </c>
      <c r="C101" s="171">
        <f t="shared" si="32"/>
        <v>45966</v>
      </c>
      <c r="D101" s="171">
        <f t="shared" si="32"/>
        <v>45985</v>
      </c>
      <c r="E101" s="1" t="s">
        <v>8</v>
      </c>
      <c r="F101" s="89">
        <v>9</v>
      </c>
      <c r="G101" s="156">
        <v>106</v>
      </c>
      <c r="H101" s="157">
        <f t="shared" si="25"/>
        <v>1110.3699999999999</v>
      </c>
      <c r="I101" s="157">
        <f t="shared" si="20"/>
        <v>1038.9100000000001</v>
      </c>
      <c r="J101" s="108">
        <f t="shared" si="2"/>
        <v>110124.46</v>
      </c>
      <c r="K101" s="158">
        <f t="shared" si="30"/>
        <v>117699.21999999999</v>
      </c>
      <c r="L101" s="159">
        <f t="shared" si="31"/>
        <v>-7574.7599999999802</v>
      </c>
      <c r="M101" s="108">
        <f t="shared" si="26"/>
        <v>585.87568534069715</v>
      </c>
      <c r="N101" s="160">
        <f t="shared" si="27"/>
        <v>-6988.8843146592826</v>
      </c>
      <c r="O101" s="108">
        <v>0</v>
      </c>
      <c r="P101" s="108">
        <v>0</v>
      </c>
      <c r="Q101" s="108">
        <v>0</v>
      </c>
      <c r="R101" s="160">
        <f t="shared" si="28"/>
        <v>-6988.8843146592826</v>
      </c>
    </row>
    <row r="102" spans="1:18" x14ac:dyDescent="0.2">
      <c r="A102" s="89">
        <v>11</v>
      </c>
      <c r="B102" s="154">
        <f t="shared" si="4"/>
        <v>45962</v>
      </c>
      <c r="C102" s="171">
        <f t="shared" si="32"/>
        <v>45994</v>
      </c>
      <c r="D102" s="171">
        <f t="shared" si="32"/>
        <v>46015</v>
      </c>
      <c r="E102" s="1" t="s">
        <v>8</v>
      </c>
      <c r="F102" s="89">
        <v>9</v>
      </c>
      <c r="G102" s="156">
        <v>67</v>
      </c>
      <c r="H102" s="157">
        <f t="shared" si="25"/>
        <v>1110.3699999999999</v>
      </c>
      <c r="I102" s="157">
        <f t="shared" si="20"/>
        <v>1038.9100000000001</v>
      </c>
      <c r="J102" s="108">
        <f t="shared" si="2"/>
        <v>69606.97</v>
      </c>
      <c r="K102" s="158">
        <f t="shared" si="30"/>
        <v>74394.789999999994</v>
      </c>
      <c r="L102" s="159">
        <f t="shared" si="31"/>
        <v>-4787.8199999999924</v>
      </c>
      <c r="M102" s="108">
        <f t="shared" si="26"/>
        <v>370.3176501681765</v>
      </c>
      <c r="N102" s="160">
        <f t="shared" si="27"/>
        <v>-4417.502349831816</v>
      </c>
      <c r="O102" s="108">
        <v>0</v>
      </c>
      <c r="P102" s="108">
        <v>0</v>
      </c>
      <c r="Q102" s="108">
        <v>0</v>
      </c>
      <c r="R102" s="160">
        <f t="shared" si="28"/>
        <v>-4417.502349831816</v>
      </c>
    </row>
    <row r="103" spans="1:18" s="175" customFormat="1" x14ac:dyDescent="0.2">
      <c r="A103" s="89">
        <v>12</v>
      </c>
      <c r="B103" s="173">
        <f t="shared" si="4"/>
        <v>45992</v>
      </c>
      <c r="C103" s="171">
        <f t="shared" si="32"/>
        <v>46028</v>
      </c>
      <c r="D103" s="171">
        <f t="shared" si="32"/>
        <v>46048</v>
      </c>
      <c r="E103" s="174" t="s">
        <v>8</v>
      </c>
      <c r="F103" s="131">
        <v>9</v>
      </c>
      <c r="G103" s="162">
        <v>82</v>
      </c>
      <c r="H103" s="163">
        <f t="shared" si="25"/>
        <v>1110.3699999999999</v>
      </c>
      <c r="I103" s="163">
        <f t="shared" si="20"/>
        <v>1038.9100000000001</v>
      </c>
      <c r="J103" s="164">
        <f t="shared" si="2"/>
        <v>85190.62000000001</v>
      </c>
      <c r="K103" s="165">
        <f t="shared" si="30"/>
        <v>91050.34</v>
      </c>
      <c r="L103" s="166">
        <f t="shared" si="31"/>
        <v>-5859.7199999999866</v>
      </c>
      <c r="M103" s="164">
        <f t="shared" si="26"/>
        <v>453.2245867729921</v>
      </c>
      <c r="N103" s="185">
        <f t="shared" si="27"/>
        <v>-5406.4954132269941</v>
      </c>
      <c r="O103" s="164">
        <v>0</v>
      </c>
      <c r="P103" s="164">
        <v>0</v>
      </c>
      <c r="Q103" s="164">
        <v>0</v>
      </c>
      <c r="R103" s="185">
        <f t="shared" si="28"/>
        <v>-5406.4954132269941</v>
      </c>
    </row>
    <row r="104" spans="1:18" x14ac:dyDescent="0.2">
      <c r="A104" s="89">
        <v>1</v>
      </c>
      <c r="B104" s="154">
        <f t="shared" si="4"/>
        <v>45658</v>
      </c>
      <c r="C104" s="168">
        <f t="shared" si="32"/>
        <v>45693</v>
      </c>
      <c r="D104" s="168">
        <f t="shared" si="32"/>
        <v>45712</v>
      </c>
      <c r="E104" s="155" t="s">
        <v>19</v>
      </c>
      <c r="F104" s="89">
        <v>9</v>
      </c>
      <c r="G104" s="156">
        <v>70</v>
      </c>
      <c r="H104" s="157">
        <f t="shared" si="25"/>
        <v>1110.3699999999999</v>
      </c>
      <c r="I104" s="157">
        <f t="shared" si="20"/>
        <v>1038.9100000000001</v>
      </c>
      <c r="J104" s="108">
        <f t="shared" si="2"/>
        <v>72723.700000000012</v>
      </c>
      <c r="K104" s="158">
        <f t="shared" si="30"/>
        <v>77725.899999999994</v>
      </c>
      <c r="L104" s="159">
        <f t="shared" si="31"/>
        <v>-5002.1999999999825</v>
      </c>
      <c r="M104" s="108">
        <f t="shared" si="26"/>
        <v>386.89903748913963</v>
      </c>
      <c r="N104" s="160">
        <f t="shared" si="27"/>
        <v>-4615.3009625108425</v>
      </c>
      <c r="O104" s="108">
        <v>0</v>
      </c>
      <c r="P104" s="108">
        <v>0</v>
      </c>
      <c r="Q104" s="108">
        <v>0</v>
      </c>
      <c r="R104" s="160">
        <f t="shared" si="28"/>
        <v>-4615.3009625108425</v>
      </c>
    </row>
    <row r="105" spans="1:18" x14ac:dyDescent="0.2">
      <c r="A105" s="89">
        <v>2</v>
      </c>
      <c r="B105" s="154">
        <f t="shared" si="4"/>
        <v>45689</v>
      </c>
      <c r="C105" s="171">
        <f t="shared" si="32"/>
        <v>45721</v>
      </c>
      <c r="D105" s="171">
        <f t="shared" si="32"/>
        <v>45740</v>
      </c>
      <c r="E105" s="161" t="s">
        <v>19</v>
      </c>
      <c r="F105" s="89">
        <v>9</v>
      </c>
      <c r="G105" s="156">
        <v>50</v>
      </c>
      <c r="H105" s="157">
        <f t="shared" si="25"/>
        <v>1110.3699999999999</v>
      </c>
      <c r="I105" s="157">
        <f t="shared" si="20"/>
        <v>1038.9100000000001</v>
      </c>
      <c r="J105" s="108">
        <f t="shared" si="2"/>
        <v>51945.500000000007</v>
      </c>
      <c r="K105" s="158">
        <f t="shared" si="30"/>
        <v>55518.499999999993</v>
      </c>
      <c r="L105" s="159">
        <f t="shared" si="31"/>
        <v>-3572.9999999999854</v>
      </c>
      <c r="M105" s="108">
        <f t="shared" si="26"/>
        <v>276.35645534938544</v>
      </c>
      <c r="N105" s="160">
        <f t="shared" si="27"/>
        <v>-3296.6435446506002</v>
      </c>
      <c r="O105" s="108">
        <v>0</v>
      </c>
      <c r="P105" s="108">
        <v>0</v>
      </c>
      <c r="Q105" s="108">
        <v>0</v>
      </c>
      <c r="R105" s="160">
        <f t="shared" si="28"/>
        <v>-3296.6435446506002</v>
      </c>
    </row>
    <row r="106" spans="1:18" x14ac:dyDescent="0.2">
      <c r="A106" s="89">
        <v>3</v>
      </c>
      <c r="B106" s="154">
        <f t="shared" si="4"/>
        <v>45717</v>
      </c>
      <c r="C106" s="171">
        <f t="shared" si="32"/>
        <v>45750</v>
      </c>
      <c r="D106" s="171">
        <f t="shared" si="32"/>
        <v>45771</v>
      </c>
      <c r="E106" s="161" t="s">
        <v>19</v>
      </c>
      <c r="F106" s="89">
        <v>9</v>
      </c>
      <c r="G106" s="156">
        <v>67</v>
      </c>
      <c r="H106" s="157">
        <f t="shared" si="25"/>
        <v>1110.3699999999999</v>
      </c>
      <c r="I106" s="157">
        <f t="shared" si="20"/>
        <v>1038.9100000000001</v>
      </c>
      <c r="J106" s="108">
        <f t="shared" si="2"/>
        <v>69606.97</v>
      </c>
      <c r="K106" s="158">
        <f t="shared" si="30"/>
        <v>74394.789999999994</v>
      </c>
      <c r="L106" s="159">
        <f>+J106-K106</f>
        <v>-4787.8199999999924</v>
      </c>
      <c r="M106" s="108">
        <f t="shared" si="26"/>
        <v>370.3176501681765</v>
      </c>
      <c r="N106" s="160">
        <f t="shared" si="27"/>
        <v>-4417.502349831816</v>
      </c>
      <c r="O106" s="108">
        <v>0</v>
      </c>
      <c r="P106" s="108">
        <v>0</v>
      </c>
      <c r="Q106" s="108">
        <v>0</v>
      </c>
      <c r="R106" s="160">
        <f t="shared" si="28"/>
        <v>-4417.502349831816</v>
      </c>
    </row>
    <row r="107" spans="1:18" x14ac:dyDescent="0.2">
      <c r="A107" s="89">
        <v>4</v>
      </c>
      <c r="B107" s="154">
        <f t="shared" si="4"/>
        <v>45748</v>
      </c>
      <c r="C107" s="171">
        <f t="shared" si="32"/>
        <v>45782</v>
      </c>
      <c r="D107" s="171">
        <f t="shared" si="32"/>
        <v>45803</v>
      </c>
      <c r="E107" s="1" t="s">
        <v>19</v>
      </c>
      <c r="F107" s="89">
        <v>9</v>
      </c>
      <c r="G107" s="156">
        <v>71</v>
      </c>
      <c r="H107" s="157">
        <f t="shared" si="25"/>
        <v>1110.3699999999999</v>
      </c>
      <c r="I107" s="157">
        <f t="shared" si="20"/>
        <v>1038.9100000000001</v>
      </c>
      <c r="J107" s="108">
        <f t="shared" si="2"/>
        <v>73762.61</v>
      </c>
      <c r="K107" s="158">
        <f t="shared" si="30"/>
        <v>78836.26999999999</v>
      </c>
      <c r="L107" s="159">
        <f t="shared" ref="L107:L115" si="33">+J107-K107</f>
        <v>-5073.6599999999889</v>
      </c>
      <c r="M107" s="108">
        <f t="shared" si="26"/>
        <v>392.42616659612736</v>
      </c>
      <c r="N107" s="160">
        <f t="shared" si="27"/>
        <v>-4681.2338334038614</v>
      </c>
      <c r="O107" s="108">
        <v>0</v>
      </c>
      <c r="P107" s="108">
        <v>0</v>
      </c>
      <c r="Q107" s="108">
        <v>0</v>
      </c>
      <c r="R107" s="160">
        <f t="shared" si="28"/>
        <v>-4681.2338334038614</v>
      </c>
    </row>
    <row r="108" spans="1:18" x14ac:dyDescent="0.2">
      <c r="A108" s="89">
        <v>5</v>
      </c>
      <c r="B108" s="154">
        <f t="shared" si="4"/>
        <v>45778</v>
      </c>
      <c r="C108" s="171">
        <f t="shared" si="32"/>
        <v>45812</v>
      </c>
      <c r="D108" s="171">
        <f t="shared" si="32"/>
        <v>45832</v>
      </c>
      <c r="E108" s="1" t="s">
        <v>19</v>
      </c>
      <c r="F108" s="89">
        <v>9</v>
      </c>
      <c r="G108" s="156">
        <v>64</v>
      </c>
      <c r="H108" s="157">
        <f t="shared" si="25"/>
        <v>1110.3699999999999</v>
      </c>
      <c r="I108" s="157">
        <f t="shared" ref="I108:I127" si="34">$J$3</f>
        <v>1038.9100000000001</v>
      </c>
      <c r="J108" s="108">
        <f t="shared" si="2"/>
        <v>66490.240000000005</v>
      </c>
      <c r="K108" s="158">
        <f t="shared" si="30"/>
        <v>71063.679999999993</v>
      </c>
      <c r="L108" s="159">
        <f t="shared" si="33"/>
        <v>-4573.4399999999878</v>
      </c>
      <c r="M108" s="108">
        <f t="shared" si="26"/>
        <v>353.73626284721331</v>
      </c>
      <c r="N108" s="160">
        <f t="shared" si="27"/>
        <v>-4219.7037371527749</v>
      </c>
      <c r="O108" s="108">
        <v>0</v>
      </c>
      <c r="P108" s="108">
        <v>0</v>
      </c>
      <c r="Q108" s="108">
        <v>0</v>
      </c>
      <c r="R108" s="160">
        <f t="shared" si="28"/>
        <v>-4219.7037371527749</v>
      </c>
    </row>
    <row r="109" spans="1:18" x14ac:dyDescent="0.2">
      <c r="A109" s="89">
        <v>6</v>
      </c>
      <c r="B109" s="154">
        <f t="shared" ref="B109:B148" si="35">DATE($R$1,A109,1)</f>
        <v>45809</v>
      </c>
      <c r="C109" s="171">
        <f t="shared" si="32"/>
        <v>45841</v>
      </c>
      <c r="D109" s="171">
        <f t="shared" si="32"/>
        <v>45862</v>
      </c>
      <c r="E109" s="1" t="s">
        <v>19</v>
      </c>
      <c r="F109" s="89">
        <v>9</v>
      </c>
      <c r="G109" s="156">
        <v>72</v>
      </c>
      <c r="H109" s="157">
        <f t="shared" si="25"/>
        <v>1110.3699999999999</v>
      </c>
      <c r="I109" s="157">
        <f t="shared" si="34"/>
        <v>1038.9100000000001</v>
      </c>
      <c r="J109" s="108">
        <f t="shared" ref="J109:J148" si="36">+$G109*I109</f>
        <v>74801.52</v>
      </c>
      <c r="K109" s="158">
        <f t="shared" si="30"/>
        <v>79946.639999999985</v>
      </c>
      <c r="L109" s="159">
        <f t="shared" si="33"/>
        <v>-5145.1199999999808</v>
      </c>
      <c r="M109" s="108">
        <f t="shared" si="26"/>
        <v>397.95329570311503</v>
      </c>
      <c r="N109" s="160">
        <f t="shared" si="27"/>
        <v>-4747.1667042968656</v>
      </c>
      <c r="O109" s="108">
        <v>0</v>
      </c>
      <c r="P109" s="108">
        <v>0</v>
      </c>
      <c r="Q109" s="108">
        <v>0</v>
      </c>
      <c r="R109" s="160">
        <f t="shared" si="28"/>
        <v>-4747.1667042968656</v>
      </c>
    </row>
    <row r="110" spans="1:18" x14ac:dyDescent="0.2">
      <c r="A110" s="89">
        <v>7</v>
      </c>
      <c r="B110" s="154">
        <f t="shared" si="35"/>
        <v>45839</v>
      </c>
      <c r="C110" s="171">
        <f t="shared" si="32"/>
        <v>45874</v>
      </c>
      <c r="D110" s="171">
        <f t="shared" si="32"/>
        <v>45894</v>
      </c>
      <c r="E110" s="1" t="s">
        <v>19</v>
      </c>
      <c r="F110" s="89">
        <v>9</v>
      </c>
      <c r="G110" s="156">
        <v>11</v>
      </c>
      <c r="H110" s="157">
        <f t="shared" si="25"/>
        <v>1110.3699999999999</v>
      </c>
      <c r="I110" s="157">
        <f t="shared" si="34"/>
        <v>1038.9100000000001</v>
      </c>
      <c r="J110" s="108">
        <f t="shared" si="36"/>
        <v>11428.01</v>
      </c>
      <c r="K110" s="158">
        <f t="shared" si="30"/>
        <v>12214.07</v>
      </c>
      <c r="L110" s="159">
        <f t="shared" si="33"/>
        <v>-786.05999999999949</v>
      </c>
      <c r="M110" s="108">
        <f t="shared" si="26"/>
        <v>60.798420176864802</v>
      </c>
      <c r="N110" s="160">
        <f t="shared" si="27"/>
        <v>-725.26157982313464</v>
      </c>
      <c r="O110" s="108">
        <v>0</v>
      </c>
      <c r="P110" s="108">
        <v>0</v>
      </c>
      <c r="Q110" s="108">
        <v>0</v>
      </c>
      <c r="R110" s="160">
        <f t="shared" si="28"/>
        <v>-725.26157982313464</v>
      </c>
    </row>
    <row r="111" spans="1:18" x14ac:dyDescent="0.2">
      <c r="A111" s="89">
        <v>8</v>
      </c>
      <c r="B111" s="154">
        <f t="shared" si="35"/>
        <v>45870</v>
      </c>
      <c r="C111" s="171">
        <f t="shared" si="32"/>
        <v>45904</v>
      </c>
      <c r="D111" s="171">
        <f t="shared" si="32"/>
        <v>45924</v>
      </c>
      <c r="E111" s="1" t="s">
        <v>19</v>
      </c>
      <c r="F111" s="89">
        <v>9</v>
      </c>
      <c r="G111" s="156">
        <v>62</v>
      </c>
      <c r="H111" s="157">
        <f t="shared" si="25"/>
        <v>1110.3699999999999</v>
      </c>
      <c r="I111" s="157">
        <f t="shared" si="34"/>
        <v>1038.9100000000001</v>
      </c>
      <c r="J111" s="108">
        <f t="shared" si="36"/>
        <v>64412.420000000006</v>
      </c>
      <c r="K111" s="158">
        <f t="shared" si="30"/>
        <v>68842.939999999988</v>
      </c>
      <c r="L111" s="159">
        <f t="shared" si="33"/>
        <v>-4430.5199999999822</v>
      </c>
      <c r="M111" s="108">
        <f t="shared" si="26"/>
        <v>342.68200463323797</v>
      </c>
      <c r="N111" s="160">
        <f t="shared" si="27"/>
        <v>-4087.8379953667445</v>
      </c>
      <c r="O111" s="108">
        <v>0</v>
      </c>
      <c r="P111" s="108">
        <v>0</v>
      </c>
      <c r="Q111" s="108">
        <v>0</v>
      </c>
      <c r="R111" s="160">
        <f t="shared" si="28"/>
        <v>-4087.8379953667445</v>
      </c>
    </row>
    <row r="112" spans="1:18" x14ac:dyDescent="0.2">
      <c r="A112" s="89">
        <v>9</v>
      </c>
      <c r="B112" s="154">
        <f t="shared" si="35"/>
        <v>45901</v>
      </c>
      <c r="C112" s="171">
        <f t="shared" si="32"/>
        <v>45933</v>
      </c>
      <c r="D112" s="171">
        <f t="shared" si="32"/>
        <v>45954</v>
      </c>
      <c r="E112" s="1" t="s">
        <v>19</v>
      </c>
      <c r="F112" s="89">
        <v>9</v>
      </c>
      <c r="G112" s="156">
        <v>72</v>
      </c>
      <c r="H112" s="157">
        <f t="shared" si="25"/>
        <v>1110.3699999999999</v>
      </c>
      <c r="I112" s="157">
        <f t="shared" si="34"/>
        <v>1038.9100000000001</v>
      </c>
      <c r="J112" s="108">
        <f t="shared" si="36"/>
        <v>74801.52</v>
      </c>
      <c r="K112" s="158">
        <f t="shared" si="30"/>
        <v>79946.639999999985</v>
      </c>
      <c r="L112" s="159">
        <f t="shared" si="33"/>
        <v>-5145.1199999999808</v>
      </c>
      <c r="M112" s="108">
        <f t="shared" si="26"/>
        <v>397.95329570311503</v>
      </c>
      <c r="N112" s="160">
        <f t="shared" si="27"/>
        <v>-4747.1667042968656</v>
      </c>
      <c r="O112" s="108">
        <v>0</v>
      </c>
      <c r="P112" s="108">
        <v>0</v>
      </c>
      <c r="Q112" s="108">
        <v>0</v>
      </c>
      <c r="R112" s="160">
        <f t="shared" si="28"/>
        <v>-4747.1667042968656</v>
      </c>
    </row>
    <row r="113" spans="1:18" x14ac:dyDescent="0.2">
      <c r="A113" s="89">
        <v>10</v>
      </c>
      <c r="B113" s="154">
        <f t="shared" si="35"/>
        <v>45931</v>
      </c>
      <c r="C113" s="171">
        <f t="shared" si="32"/>
        <v>45966</v>
      </c>
      <c r="D113" s="171">
        <f t="shared" si="32"/>
        <v>45985</v>
      </c>
      <c r="E113" s="1" t="s">
        <v>19</v>
      </c>
      <c r="F113" s="89">
        <v>9</v>
      </c>
      <c r="G113" s="156">
        <v>72</v>
      </c>
      <c r="H113" s="157">
        <f t="shared" si="25"/>
        <v>1110.3699999999999</v>
      </c>
      <c r="I113" s="157">
        <f t="shared" si="34"/>
        <v>1038.9100000000001</v>
      </c>
      <c r="J113" s="108">
        <f t="shared" si="36"/>
        <v>74801.52</v>
      </c>
      <c r="K113" s="158">
        <f t="shared" si="30"/>
        <v>79946.639999999985</v>
      </c>
      <c r="L113" s="159">
        <f t="shared" si="33"/>
        <v>-5145.1199999999808</v>
      </c>
      <c r="M113" s="108">
        <f t="shared" si="26"/>
        <v>397.95329570311503</v>
      </c>
      <c r="N113" s="160">
        <f t="shared" si="27"/>
        <v>-4747.1667042968656</v>
      </c>
      <c r="O113" s="108">
        <v>0</v>
      </c>
      <c r="P113" s="108">
        <v>0</v>
      </c>
      <c r="Q113" s="108">
        <v>0</v>
      </c>
      <c r="R113" s="160">
        <f t="shared" si="28"/>
        <v>-4747.1667042968656</v>
      </c>
    </row>
    <row r="114" spans="1:18" x14ac:dyDescent="0.2">
      <c r="A114" s="89">
        <v>11</v>
      </c>
      <c r="B114" s="154">
        <f t="shared" si="35"/>
        <v>45962</v>
      </c>
      <c r="C114" s="171">
        <f t="shared" si="32"/>
        <v>45994</v>
      </c>
      <c r="D114" s="171">
        <f t="shared" si="32"/>
        <v>46015</v>
      </c>
      <c r="E114" s="1" t="s">
        <v>19</v>
      </c>
      <c r="F114" s="89">
        <v>9</v>
      </c>
      <c r="G114" s="156">
        <v>67</v>
      </c>
      <c r="H114" s="157">
        <f t="shared" si="25"/>
        <v>1110.3699999999999</v>
      </c>
      <c r="I114" s="157">
        <f t="shared" si="34"/>
        <v>1038.9100000000001</v>
      </c>
      <c r="J114" s="108">
        <f t="shared" si="36"/>
        <v>69606.97</v>
      </c>
      <c r="K114" s="158">
        <f t="shared" si="30"/>
        <v>74394.789999999994</v>
      </c>
      <c r="L114" s="159">
        <f t="shared" si="33"/>
        <v>-4787.8199999999924</v>
      </c>
      <c r="M114" s="108">
        <f t="shared" si="26"/>
        <v>370.3176501681765</v>
      </c>
      <c r="N114" s="160">
        <f t="shared" si="27"/>
        <v>-4417.502349831816</v>
      </c>
      <c r="O114" s="108">
        <v>0</v>
      </c>
      <c r="P114" s="108">
        <v>0</v>
      </c>
      <c r="Q114" s="108">
        <v>0</v>
      </c>
      <c r="R114" s="160">
        <f t="shared" si="28"/>
        <v>-4417.502349831816</v>
      </c>
    </row>
    <row r="115" spans="1:18" s="175" customFormat="1" x14ac:dyDescent="0.2">
      <c r="A115" s="89">
        <v>12</v>
      </c>
      <c r="B115" s="173">
        <f t="shared" si="35"/>
        <v>45992</v>
      </c>
      <c r="C115" s="176">
        <f t="shared" si="32"/>
        <v>46028</v>
      </c>
      <c r="D115" s="176">
        <f t="shared" si="32"/>
        <v>46048</v>
      </c>
      <c r="E115" s="174" t="s">
        <v>19</v>
      </c>
      <c r="F115" s="131">
        <v>9</v>
      </c>
      <c r="G115" s="162">
        <v>68</v>
      </c>
      <c r="H115" s="163">
        <f t="shared" si="25"/>
        <v>1110.3699999999999</v>
      </c>
      <c r="I115" s="163">
        <f t="shared" si="34"/>
        <v>1038.9100000000001</v>
      </c>
      <c r="J115" s="164">
        <f t="shared" si="36"/>
        <v>70645.88</v>
      </c>
      <c r="K115" s="165">
        <f t="shared" si="30"/>
        <v>75505.159999999989</v>
      </c>
      <c r="L115" s="166">
        <f t="shared" si="33"/>
        <v>-4859.2799999999843</v>
      </c>
      <c r="M115" s="164">
        <f t="shared" si="26"/>
        <v>375.84477927516417</v>
      </c>
      <c r="N115" s="185">
        <f t="shared" si="27"/>
        <v>-4483.4352207248203</v>
      </c>
      <c r="O115" s="164">
        <v>0</v>
      </c>
      <c r="P115" s="164">
        <v>0</v>
      </c>
      <c r="Q115" s="164">
        <v>0</v>
      </c>
      <c r="R115" s="185">
        <f t="shared" si="28"/>
        <v>-4483.4352207248203</v>
      </c>
    </row>
    <row r="116" spans="1:18" x14ac:dyDescent="0.2">
      <c r="A116" s="89">
        <v>1</v>
      </c>
      <c r="B116" s="154">
        <f t="shared" si="35"/>
        <v>45658</v>
      </c>
      <c r="C116" s="171">
        <f t="shared" si="32"/>
        <v>45693</v>
      </c>
      <c r="D116" s="171">
        <f t="shared" si="32"/>
        <v>45712</v>
      </c>
      <c r="E116" s="155" t="s">
        <v>13</v>
      </c>
      <c r="F116" s="89">
        <v>9</v>
      </c>
      <c r="G116" s="156">
        <v>1315</v>
      </c>
      <c r="H116" s="157">
        <f t="shared" si="25"/>
        <v>1110.3699999999999</v>
      </c>
      <c r="I116" s="157">
        <f t="shared" si="34"/>
        <v>1038.9100000000001</v>
      </c>
      <c r="J116" s="108">
        <f t="shared" si="36"/>
        <v>1366166.6500000001</v>
      </c>
      <c r="K116" s="158">
        <f t="shared" si="30"/>
        <v>1460136.5499999998</v>
      </c>
      <c r="L116" s="159">
        <f>+J116-K116</f>
        <v>-93969.899999999674</v>
      </c>
      <c r="M116" s="108">
        <f t="shared" si="26"/>
        <v>7268.1747756888371</v>
      </c>
      <c r="N116" s="160">
        <f t="shared" si="27"/>
        <v>-86701.725224310838</v>
      </c>
      <c r="O116" s="108">
        <v>0</v>
      </c>
      <c r="P116" s="108">
        <v>0</v>
      </c>
      <c r="Q116" s="108">
        <v>0</v>
      </c>
      <c r="R116" s="160">
        <f t="shared" si="28"/>
        <v>-86701.725224310838</v>
      </c>
    </row>
    <row r="117" spans="1:18" x14ac:dyDescent="0.2">
      <c r="A117" s="89">
        <v>2</v>
      </c>
      <c r="B117" s="154">
        <f t="shared" si="35"/>
        <v>45689</v>
      </c>
      <c r="C117" s="171">
        <f t="shared" ref="C117:D139" si="37">+C105</f>
        <v>45721</v>
      </c>
      <c r="D117" s="171">
        <f t="shared" si="37"/>
        <v>45740</v>
      </c>
      <c r="E117" s="161" t="s">
        <v>13</v>
      </c>
      <c r="F117" s="89">
        <v>9</v>
      </c>
      <c r="G117" s="156">
        <v>1377</v>
      </c>
      <c r="H117" s="157">
        <f t="shared" si="25"/>
        <v>1110.3699999999999</v>
      </c>
      <c r="I117" s="157">
        <f t="shared" si="34"/>
        <v>1038.9100000000001</v>
      </c>
      <c r="J117" s="108">
        <f t="shared" si="36"/>
        <v>1430579.07</v>
      </c>
      <c r="K117" s="158">
        <f t="shared" si="30"/>
        <v>1528979.4899999998</v>
      </c>
      <c r="L117" s="159">
        <f>+J117-K117</f>
        <v>-98400.419999999693</v>
      </c>
      <c r="M117" s="108">
        <f t="shared" si="26"/>
        <v>7610.8567803220749</v>
      </c>
      <c r="N117" s="160">
        <f t="shared" si="27"/>
        <v>-90789.563219677613</v>
      </c>
      <c r="O117" s="108">
        <v>0</v>
      </c>
      <c r="P117" s="108">
        <v>0</v>
      </c>
      <c r="Q117" s="108">
        <v>0</v>
      </c>
      <c r="R117" s="160">
        <f t="shared" si="28"/>
        <v>-90789.563219677613</v>
      </c>
    </row>
    <row r="118" spans="1:18" x14ac:dyDescent="0.2">
      <c r="A118" s="89">
        <v>3</v>
      </c>
      <c r="B118" s="154">
        <f t="shared" si="35"/>
        <v>45717</v>
      </c>
      <c r="C118" s="171">
        <f t="shared" si="37"/>
        <v>45750</v>
      </c>
      <c r="D118" s="171">
        <f t="shared" si="37"/>
        <v>45771</v>
      </c>
      <c r="E118" s="161" t="s">
        <v>13</v>
      </c>
      <c r="F118" s="89">
        <v>9</v>
      </c>
      <c r="G118" s="156">
        <v>791</v>
      </c>
      <c r="H118" s="157">
        <f t="shared" si="25"/>
        <v>1110.3699999999999</v>
      </c>
      <c r="I118" s="157">
        <f t="shared" si="34"/>
        <v>1038.9100000000001</v>
      </c>
      <c r="J118" s="108">
        <f t="shared" si="36"/>
        <v>821777.81</v>
      </c>
      <c r="K118" s="158">
        <f t="shared" si="30"/>
        <v>878302.66999999993</v>
      </c>
      <c r="L118" s="159">
        <f>+J118-K118</f>
        <v>-56524.85999999987</v>
      </c>
      <c r="M118" s="108">
        <f t="shared" si="26"/>
        <v>4371.9591236272772</v>
      </c>
      <c r="N118" s="160">
        <f t="shared" si="27"/>
        <v>-52152.900876372594</v>
      </c>
      <c r="O118" s="108">
        <v>0</v>
      </c>
      <c r="P118" s="108">
        <v>0</v>
      </c>
      <c r="Q118" s="108">
        <v>0</v>
      </c>
      <c r="R118" s="160">
        <f t="shared" si="28"/>
        <v>-52152.900876372594</v>
      </c>
    </row>
    <row r="119" spans="1:18" x14ac:dyDescent="0.2">
      <c r="A119" s="89">
        <v>4</v>
      </c>
      <c r="B119" s="154">
        <f t="shared" si="35"/>
        <v>45748</v>
      </c>
      <c r="C119" s="171">
        <f t="shared" si="37"/>
        <v>45782</v>
      </c>
      <c r="D119" s="171">
        <f t="shared" si="37"/>
        <v>45803</v>
      </c>
      <c r="E119" s="1" t="s">
        <v>13</v>
      </c>
      <c r="F119" s="89">
        <v>9</v>
      </c>
      <c r="G119" s="156">
        <v>603</v>
      </c>
      <c r="H119" s="157">
        <f t="shared" si="25"/>
        <v>1110.3699999999999</v>
      </c>
      <c r="I119" s="157">
        <f t="shared" si="34"/>
        <v>1038.9100000000001</v>
      </c>
      <c r="J119" s="108">
        <f t="shared" si="36"/>
        <v>626462.7300000001</v>
      </c>
      <c r="K119" s="158">
        <f t="shared" si="30"/>
        <v>669553.11</v>
      </c>
      <c r="L119" s="159">
        <f t="shared" ref="L119:L127" si="38">+J119-K119</f>
        <v>-43090.379999999888</v>
      </c>
      <c r="M119" s="108">
        <f t="shared" si="26"/>
        <v>3332.8588515135884</v>
      </c>
      <c r="N119" s="160">
        <f t="shared" si="27"/>
        <v>-39757.521148486303</v>
      </c>
      <c r="O119" s="108">
        <v>0</v>
      </c>
      <c r="P119" s="108">
        <v>0</v>
      </c>
      <c r="Q119" s="108">
        <v>0</v>
      </c>
      <c r="R119" s="160">
        <f t="shared" si="28"/>
        <v>-39757.521148486303</v>
      </c>
    </row>
    <row r="120" spans="1:18" x14ac:dyDescent="0.2">
      <c r="A120" s="89">
        <v>5</v>
      </c>
      <c r="B120" s="154">
        <f t="shared" si="35"/>
        <v>45778</v>
      </c>
      <c r="C120" s="171">
        <f t="shared" si="37"/>
        <v>45812</v>
      </c>
      <c r="D120" s="171">
        <f t="shared" si="37"/>
        <v>45832</v>
      </c>
      <c r="E120" s="1" t="s">
        <v>13</v>
      </c>
      <c r="F120" s="89">
        <v>9</v>
      </c>
      <c r="G120" s="156">
        <v>738</v>
      </c>
      <c r="H120" s="157">
        <f t="shared" si="25"/>
        <v>1110.3699999999999</v>
      </c>
      <c r="I120" s="157">
        <f t="shared" si="34"/>
        <v>1038.9100000000001</v>
      </c>
      <c r="J120" s="108">
        <f t="shared" si="36"/>
        <v>766715.58000000007</v>
      </c>
      <c r="K120" s="158">
        <f t="shared" si="30"/>
        <v>819453.05999999994</v>
      </c>
      <c r="L120" s="159">
        <f t="shared" si="38"/>
        <v>-52737.479999999865</v>
      </c>
      <c r="M120" s="108">
        <f t="shared" si="26"/>
        <v>4079.0212809569289</v>
      </c>
      <c r="N120" s="160">
        <f t="shared" si="27"/>
        <v>-48658.458719042937</v>
      </c>
      <c r="O120" s="108">
        <v>0</v>
      </c>
      <c r="P120" s="108">
        <v>0</v>
      </c>
      <c r="Q120" s="108">
        <v>0</v>
      </c>
      <c r="R120" s="160">
        <f t="shared" si="28"/>
        <v>-48658.458719042937</v>
      </c>
    </row>
    <row r="121" spans="1:18" x14ac:dyDescent="0.2">
      <c r="A121" s="89">
        <v>6</v>
      </c>
      <c r="B121" s="154">
        <f t="shared" si="35"/>
        <v>45809</v>
      </c>
      <c r="C121" s="171">
        <f t="shared" si="37"/>
        <v>45841</v>
      </c>
      <c r="D121" s="171">
        <f t="shared" si="37"/>
        <v>45862</v>
      </c>
      <c r="E121" s="1" t="s">
        <v>13</v>
      </c>
      <c r="F121" s="89">
        <v>9</v>
      </c>
      <c r="G121" s="156">
        <v>849</v>
      </c>
      <c r="H121" s="157">
        <f t="shared" si="25"/>
        <v>1110.3699999999999</v>
      </c>
      <c r="I121" s="157">
        <f t="shared" si="34"/>
        <v>1038.9100000000001</v>
      </c>
      <c r="J121" s="108">
        <f t="shared" si="36"/>
        <v>882034.59000000008</v>
      </c>
      <c r="K121" s="158">
        <f t="shared" si="30"/>
        <v>942704.12999999989</v>
      </c>
      <c r="L121" s="159">
        <f t="shared" si="38"/>
        <v>-60669.539999999804</v>
      </c>
      <c r="M121" s="108">
        <f t="shared" si="26"/>
        <v>4692.5326118325647</v>
      </c>
      <c r="N121" s="160">
        <f t="shared" si="27"/>
        <v>-55977.007388167243</v>
      </c>
      <c r="O121" s="108">
        <v>0</v>
      </c>
      <c r="P121" s="108">
        <v>0</v>
      </c>
      <c r="Q121" s="108">
        <v>0</v>
      </c>
      <c r="R121" s="160">
        <f t="shared" si="28"/>
        <v>-55977.007388167243</v>
      </c>
    </row>
    <row r="122" spans="1:18" x14ac:dyDescent="0.2">
      <c r="A122" s="89">
        <v>7</v>
      </c>
      <c r="B122" s="154">
        <f t="shared" si="35"/>
        <v>45839</v>
      </c>
      <c r="C122" s="171">
        <f t="shared" si="37"/>
        <v>45874</v>
      </c>
      <c r="D122" s="171">
        <f t="shared" si="37"/>
        <v>45894</v>
      </c>
      <c r="E122" s="1" t="s">
        <v>13</v>
      </c>
      <c r="F122" s="89">
        <v>9</v>
      </c>
      <c r="G122" s="156">
        <v>978</v>
      </c>
      <c r="H122" s="157">
        <f t="shared" si="25"/>
        <v>1110.3699999999999</v>
      </c>
      <c r="I122" s="157">
        <f t="shared" si="34"/>
        <v>1038.9100000000001</v>
      </c>
      <c r="J122" s="108">
        <f t="shared" si="36"/>
        <v>1016053.9800000001</v>
      </c>
      <c r="K122" s="158">
        <f t="shared" si="30"/>
        <v>1085941.8599999999</v>
      </c>
      <c r="L122" s="159">
        <f t="shared" si="38"/>
        <v>-69887.879999999772</v>
      </c>
      <c r="M122" s="108">
        <f t="shared" si="26"/>
        <v>5405.5322666339798</v>
      </c>
      <c r="N122" s="160">
        <f t="shared" si="27"/>
        <v>-64482.347733365794</v>
      </c>
      <c r="O122" s="108">
        <v>0</v>
      </c>
      <c r="P122" s="108">
        <v>0</v>
      </c>
      <c r="Q122" s="108">
        <v>0</v>
      </c>
      <c r="R122" s="160">
        <f t="shared" si="28"/>
        <v>-64482.347733365794</v>
      </c>
    </row>
    <row r="123" spans="1:18" x14ac:dyDescent="0.2">
      <c r="A123" s="89">
        <v>8</v>
      </c>
      <c r="B123" s="154">
        <f t="shared" si="35"/>
        <v>45870</v>
      </c>
      <c r="C123" s="171">
        <f t="shared" si="37"/>
        <v>45904</v>
      </c>
      <c r="D123" s="171">
        <f t="shared" si="37"/>
        <v>45924</v>
      </c>
      <c r="E123" s="1" t="s">
        <v>13</v>
      </c>
      <c r="F123" s="89">
        <v>9</v>
      </c>
      <c r="G123" s="156">
        <v>1000</v>
      </c>
      <c r="H123" s="157">
        <f t="shared" si="25"/>
        <v>1110.3699999999999</v>
      </c>
      <c r="I123" s="157">
        <f t="shared" si="34"/>
        <v>1038.9100000000001</v>
      </c>
      <c r="J123" s="108">
        <f t="shared" si="36"/>
        <v>1038910.0000000001</v>
      </c>
      <c r="K123" s="158">
        <f t="shared" si="30"/>
        <v>1110370</v>
      </c>
      <c r="L123" s="159">
        <f t="shared" si="38"/>
        <v>-71459.999999999884</v>
      </c>
      <c r="M123" s="108">
        <f t="shared" si="26"/>
        <v>5527.1291069877088</v>
      </c>
      <c r="N123" s="160">
        <f t="shared" si="27"/>
        <v>-65932.870893012179</v>
      </c>
      <c r="O123" s="108">
        <v>0</v>
      </c>
      <c r="P123" s="108">
        <v>0</v>
      </c>
      <c r="Q123" s="108">
        <v>0</v>
      </c>
      <c r="R123" s="160">
        <f t="shared" si="28"/>
        <v>-65932.870893012179</v>
      </c>
    </row>
    <row r="124" spans="1:18" x14ac:dyDescent="0.2">
      <c r="A124" s="89">
        <v>9</v>
      </c>
      <c r="B124" s="154">
        <f t="shared" si="35"/>
        <v>45901</v>
      </c>
      <c r="C124" s="171">
        <f t="shared" si="37"/>
        <v>45933</v>
      </c>
      <c r="D124" s="171">
        <f t="shared" si="37"/>
        <v>45954</v>
      </c>
      <c r="E124" s="1" t="s">
        <v>13</v>
      </c>
      <c r="F124" s="89">
        <v>9</v>
      </c>
      <c r="G124" s="156">
        <v>844</v>
      </c>
      <c r="H124" s="157">
        <f t="shared" si="25"/>
        <v>1110.3699999999999</v>
      </c>
      <c r="I124" s="157">
        <f t="shared" si="34"/>
        <v>1038.9100000000001</v>
      </c>
      <c r="J124" s="108">
        <f t="shared" si="36"/>
        <v>876840.04</v>
      </c>
      <c r="K124" s="158">
        <f t="shared" si="30"/>
        <v>937152.27999999991</v>
      </c>
      <c r="L124" s="159">
        <f t="shared" si="38"/>
        <v>-60312.239999999874</v>
      </c>
      <c r="M124" s="108">
        <f t="shared" si="26"/>
        <v>4664.8969662976269</v>
      </c>
      <c r="N124" s="160">
        <f t="shared" si="27"/>
        <v>-55647.343033702244</v>
      </c>
      <c r="O124" s="108">
        <v>0</v>
      </c>
      <c r="P124" s="108">
        <v>0</v>
      </c>
      <c r="Q124" s="108">
        <v>0</v>
      </c>
      <c r="R124" s="160">
        <f t="shared" si="28"/>
        <v>-55647.343033702244</v>
      </c>
    </row>
    <row r="125" spans="1:18" x14ac:dyDescent="0.2">
      <c r="A125" s="89">
        <v>10</v>
      </c>
      <c r="B125" s="154">
        <f t="shared" si="35"/>
        <v>45931</v>
      </c>
      <c r="C125" s="171">
        <f t="shared" si="37"/>
        <v>45966</v>
      </c>
      <c r="D125" s="171">
        <f t="shared" si="37"/>
        <v>45985</v>
      </c>
      <c r="E125" s="1" t="s">
        <v>13</v>
      </c>
      <c r="F125" s="89">
        <v>9</v>
      </c>
      <c r="G125" s="156">
        <v>760</v>
      </c>
      <c r="H125" s="157">
        <f t="shared" si="25"/>
        <v>1110.3699999999999</v>
      </c>
      <c r="I125" s="157">
        <f t="shared" si="34"/>
        <v>1038.9100000000001</v>
      </c>
      <c r="J125" s="108">
        <f t="shared" si="36"/>
        <v>789571.60000000009</v>
      </c>
      <c r="K125" s="158">
        <f t="shared" si="30"/>
        <v>843881.2</v>
      </c>
      <c r="L125" s="159">
        <f t="shared" si="38"/>
        <v>-54309.59999999986</v>
      </c>
      <c r="M125" s="108">
        <f t="shared" si="26"/>
        <v>4200.6181213106584</v>
      </c>
      <c r="N125" s="160">
        <f t="shared" si="27"/>
        <v>-50108.981878689199</v>
      </c>
      <c r="O125" s="108">
        <v>0</v>
      </c>
      <c r="P125" s="108">
        <v>0</v>
      </c>
      <c r="Q125" s="108">
        <v>0</v>
      </c>
      <c r="R125" s="160">
        <f t="shared" si="28"/>
        <v>-50108.981878689199</v>
      </c>
    </row>
    <row r="126" spans="1:18" x14ac:dyDescent="0.2">
      <c r="A126" s="89">
        <v>11</v>
      </c>
      <c r="B126" s="154">
        <f t="shared" si="35"/>
        <v>45962</v>
      </c>
      <c r="C126" s="171">
        <f t="shared" si="37"/>
        <v>45994</v>
      </c>
      <c r="D126" s="171">
        <f t="shared" si="37"/>
        <v>46015</v>
      </c>
      <c r="E126" s="1" t="s">
        <v>13</v>
      </c>
      <c r="F126" s="89">
        <v>9</v>
      </c>
      <c r="G126" s="156">
        <v>748</v>
      </c>
      <c r="H126" s="157">
        <f t="shared" si="25"/>
        <v>1110.3699999999999</v>
      </c>
      <c r="I126" s="157">
        <f t="shared" si="34"/>
        <v>1038.9100000000001</v>
      </c>
      <c r="J126" s="108">
        <f t="shared" si="36"/>
        <v>777104.68</v>
      </c>
      <c r="K126" s="158">
        <f t="shared" si="30"/>
        <v>830556.75999999989</v>
      </c>
      <c r="L126" s="159">
        <f t="shared" si="38"/>
        <v>-53452.079999999842</v>
      </c>
      <c r="M126" s="108">
        <f t="shared" si="26"/>
        <v>4134.2925720268058</v>
      </c>
      <c r="N126" s="160">
        <f t="shared" si="27"/>
        <v>-49317.787427973039</v>
      </c>
      <c r="O126" s="108">
        <v>0</v>
      </c>
      <c r="P126" s="108">
        <v>0</v>
      </c>
      <c r="Q126" s="108">
        <v>0</v>
      </c>
      <c r="R126" s="160">
        <f t="shared" si="28"/>
        <v>-49317.787427973039</v>
      </c>
    </row>
    <row r="127" spans="1:18" s="175" customFormat="1" x14ac:dyDescent="0.2">
      <c r="A127" s="89">
        <v>12</v>
      </c>
      <c r="B127" s="173">
        <f t="shared" si="35"/>
        <v>45992</v>
      </c>
      <c r="C127" s="176">
        <f t="shared" si="37"/>
        <v>46028</v>
      </c>
      <c r="D127" s="176">
        <f t="shared" si="37"/>
        <v>46048</v>
      </c>
      <c r="E127" s="174" t="s">
        <v>13</v>
      </c>
      <c r="F127" s="131">
        <v>9</v>
      </c>
      <c r="G127" s="162">
        <v>1070</v>
      </c>
      <c r="H127" s="163">
        <f t="shared" si="25"/>
        <v>1110.3699999999999</v>
      </c>
      <c r="I127" s="163">
        <f t="shared" si="34"/>
        <v>1038.9100000000001</v>
      </c>
      <c r="J127" s="164">
        <f t="shared" si="36"/>
        <v>1111633.7000000002</v>
      </c>
      <c r="K127" s="165">
        <f t="shared" si="30"/>
        <v>1188095.8999999999</v>
      </c>
      <c r="L127" s="166">
        <f t="shared" si="38"/>
        <v>-76462.199999999721</v>
      </c>
      <c r="M127" s="164">
        <f t="shared" si="26"/>
        <v>5914.0281444768489</v>
      </c>
      <c r="N127" s="185">
        <f t="shared" si="27"/>
        <v>-70548.171855522873</v>
      </c>
      <c r="O127" s="164">
        <v>0</v>
      </c>
      <c r="P127" s="164">
        <v>0</v>
      </c>
      <c r="Q127" s="164">
        <v>0</v>
      </c>
      <c r="R127" s="185">
        <f t="shared" si="28"/>
        <v>-70548.171855522873</v>
      </c>
    </row>
    <row r="128" spans="1:18" x14ac:dyDescent="0.2">
      <c r="A128" s="89">
        <v>1</v>
      </c>
      <c r="B128" s="154">
        <f t="shared" si="35"/>
        <v>45658</v>
      </c>
      <c r="C128" s="171">
        <f t="shared" si="37"/>
        <v>45693</v>
      </c>
      <c r="D128" s="171">
        <f t="shared" si="37"/>
        <v>45712</v>
      </c>
      <c r="E128" s="155" t="s">
        <v>15</v>
      </c>
      <c r="F128" s="89">
        <v>9</v>
      </c>
      <c r="G128" s="156">
        <v>7</v>
      </c>
      <c r="H128" s="157">
        <f t="shared" si="25"/>
        <v>1110.3699999999999</v>
      </c>
      <c r="I128" s="157">
        <f t="shared" ref="I128:I147" si="39">$J$3</f>
        <v>1038.9100000000001</v>
      </c>
      <c r="J128" s="108">
        <f t="shared" si="36"/>
        <v>7272.3700000000008</v>
      </c>
      <c r="K128" s="158">
        <f t="shared" si="30"/>
        <v>7772.5899999999992</v>
      </c>
      <c r="L128" s="159">
        <f>+J128-K128</f>
        <v>-500.21999999999844</v>
      </c>
      <c r="M128" s="108">
        <f t="shared" si="26"/>
        <v>38.689903748913956</v>
      </c>
      <c r="N128" s="160">
        <f t="shared" si="27"/>
        <v>-461.5300962510845</v>
      </c>
      <c r="O128" s="108">
        <v>0</v>
      </c>
      <c r="P128" s="108">
        <v>0</v>
      </c>
      <c r="Q128" s="108">
        <v>0</v>
      </c>
      <c r="R128" s="160">
        <f t="shared" si="28"/>
        <v>-461.5300962510845</v>
      </c>
    </row>
    <row r="129" spans="1:18" x14ac:dyDescent="0.2">
      <c r="A129" s="89">
        <v>2</v>
      </c>
      <c r="B129" s="154">
        <f t="shared" si="35"/>
        <v>45689</v>
      </c>
      <c r="C129" s="171">
        <f t="shared" si="37"/>
        <v>45721</v>
      </c>
      <c r="D129" s="171">
        <f t="shared" si="37"/>
        <v>45740</v>
      </c>
      <c r="E129" s="161" t="s">
        <v>15</v>
      </c>
      <c r="F129" s="89">
        <v>9</v>
      </c>
      <c r="G129" s="156">
        <v>8</v>
      </c>
      <c r="H129" s="157">
        <f t="shared" si="25"/>
        <v>1110.3699999999999</v>
      </c>
      <c r="I129" s="157">
        <f t="shared" si="39"/>
        <v>1038.9100000000001</v>
      </c>
      <c r="J129" s="108">
        <f t="shared" si="36"/>
        <v>8311.2800000000007</v>
      </c>
      <c r="K129" s="158">
        <f t="shared" si="30"/>
        <v>8882.9599999999991</v>
      </c>
      <c r="L129" s="159">
        <f>+J129-K129</f>
        <v>-571.67999999999847</v>
      </c>
      <c r="M129" s="108">
        <f t="shared" si="26"/>
        <v>44.217032855901664</v>
      </c>
      <c r="N129" s="160">
        <f t="shared" si="27"/>
        <v>-527.46296714409687</v>
      </c>
      <c r="O129" s="108">
        <v>0</v>
      </c>
      <c r="P129" s="108">
        <v>0</v>
      </c>
      <c r="Q129" s="108">
        <v>0</v>
      </c>
      <c r="R129" s="160">
        <f t="shared" si="28"/>
        <v>-527.46296714409687</v>
      </c>
    </row>
    <row r="130" spans="1:18" x14ac:dyDescent="0.2">
      <c r="A130" s="89">
        <v>3</v>
      </c>
      <c r="B130" s="154">
        <f t="shared" si="35"/>
        <v>45717</v>
      </c>
      <c r="C130" s="171">
        <f t="shared" si="37"/>
        <v>45750</v>
      </c>
      <c r="D130" s="171">
        <f t="shared" si="37"/>
        <v>45771</v>
      </c>
      <c r="E130" s="161" t="s">
        <v>15</v>
      </c>
      <c r="F130" s="89">
        <v>9</v>
      </c>
      <c r="G130" s="156">
        <v>7</v>
      </c>
      <c r="H130" s="157">
        <f t="shared" si="25"/>
        <v>1110.3699999999999</v>
      </c>
      <c r="I130" s="157">
        <f t="shared" si="39"/>
        <v>1038.9100000000001</v>
      </c>
      <c r="J130" s="108">
        <f t="shared" si="36"/>
        <v>7272.3700000000008</v>
      </c>
      <c r="K130" s="158">
        <f t="shared" si="30"/>
        <v>7772.5899999999992</v>
      </c>
      <c r="L130" s="159">
        <f>+J130-K130</f>
        <v>-500.21999999999844</v>
      </c>
      <c r="M130" s="108">
        <f t="shared" si="26"/>
        <v>38.689903748913956</v>
      </c>
      <c r="N130" s="160">
        <f t="shared" si="27"/>
        <v>-461.5300962510845</v>
      </c>
      <c r="O130" s="108">
        <v>0</v>
      </c>
      <c r="P130" s="108">
        <v>0</v>
      </c>
      <c r="Q130" s="108">
        <v>0</v>
      </c>
      <c r="R130" s="160">
        <f t="shared" si="28"/>
        <v>-461.5300962510845</v>
      </c>
    </row>
    <row r="131" spans="1:18" x14ac:dyDescent="0.2">
      <c r="A131" s="89">
        <v>4</v>
      </c>
      <c r="B131" s="154">
        <f t="shared" si="35"/>
        <v>45748</v>
      </c>
      <c r="C131" s="171">
        <f t="shared" si="37"/>
        <v>45782</v>
      </c>
      <c r="D131" s="171">
        <f t="shared" si="37"/>
        <v>45803</v>
      </c>
      <c r="E131" s="161" t="s">
        <v>15</v>
      </c>
      <c r="F131" s="89">
        <v>9</v>
      </c>
      <c r="G131" s="156">
        <v>3</v>
      </c>
      <c r="H131" s="157">
        <f t="shared" si="25"/>
        <v>1110.3699999999999</v>
      </c>
      <c r="I131" s="157">
        <f t="shared" si="39"/>
        <v>1038.9100000000001</v>
      </c>
      <c r="J131" s="108">
        <f t="shared" si="36"/>
        <v>3116.7300000000005</v>
      </c>
      <c r="K131" s="158">
        <f t="shared" si="30"/>
        <v>3331.1099999999997</v>
      </c>
      <c r="L131" s="159">
        <f t="shared" ref="L131:L141" si="40">+J131-K131</f>
        <v>-214.3799999999992</v>
      </c>
      <c r="M131" s="108">
        <f t="shared" si="26"/>
        <v>16.581387320963128</v>
      </c>
      <c r="N131" s="160">
        <f t="shared" si="27"/>
        <v>-197.79861267903607</v>
      </c>
      <c r="O131" s="108">
        <v>0</v>
      </c>
      <c r="P131" s="108">
        <v>0</v>
      </c>
      <c r="Q131" s="108">
        <v>0</v>
      </c>
      <c r="R131" s="160">
        <f t="shared" si="28"/>
        <v>-197.79861267903607</v>
      </c>
    </row>
    <row r="132" spans="1:18" x14ac:dyDescent="0.2">
      <c r="A132" s="89">
        <v>5</v>
      </c>
      <c r="B132" s="154">
        <f t="shared" si="35"/>
        <v>45778</v>
      </c>
      <c r="C132" s="171">
        <f t="shared" si="37"/>
        <v>45812</v>
      </c>
      <c r="D132" s="171">
        <f t="shared" si="37"/>
        <v>45832</v>
      </c>
      <c r="E132" s="1" t="s">
        <v>15</v>
      </c>
      <c r="F132" s="89">
        <v>9</v>
      </c>
      <c r="G132" s="156">
        <v>5</v>
      </c>
      <c r="H132" s="157">
        <f t="shared" si="25"/>
        <v>1110.3699999999999</v>
      </c>
      <c r="I132" s="157">
        <f t="shared" si="39"/>
        <v>1038.9100000000001</v>
      </c>
      <c r="J132" s="108">
        <f t="shared" si="36"/>
        <v>5194.55</v>
      </c>
      <c r="K132" s="158">
        <f t="shared" si="30"/>
        <v>5551.8499999999995</v>
      </c>
      <c r="L132" s="159">
        <f t="shared" si="40"/>
        <v>-357.29999999999927</v>
      </c>
      <c r="M132" s="108">
        <f t="shared" si="26"/>
        <v>27.635645534938543</v>
      </c>
      <c r="N132" s="160">
        <f t="shared" si="27"/>
        <v>-329.66435446506074</v>
      </c>
      <c r="O132" s="108">
        <v>0</v>
      </c>
      <c r="P132" s="108">
        <v>0</v>
      </c>
      <c r="Q132" s="108">
        <v>0</v>
      </c>
      <c r="R132" s="160">
        <f t="shared" si="28"/>
        <v>-329.66435446506074</v>
      </c>
    </row>
    <row r="133" spans="1:18" x14ac:dyDescent="0.2">
      <c r="A133" s="89">
        <v>6</v>
      </c>
      <c r="B133" s="154">
        <f t="shared" si="35"/>
        <v>45809</v>
      </c>
      <c r="C133" s="171">
        <f t="shared" si="37"/>
        <v>45841</v>
      </c>
      <c r="D133" s="171">
        <f t="shared" si="37"/>
        <v>45862</v>
      </c>
      <c r="E133" s="1" t="s">
        <v>15</v>
      </c>
      <c r="F133" s="89">
        <v>9</v>
      </c>
      <c r="G133" s="156">
        <v>10</v>
      </c>
      <c r="H133" s="157">
        <f t="shared" si="25"/>
        <v>1110.3699999999999</v>
      </c>
      <c r="I133" s="157">
        <f t="shared" si="39"/>
        <v>1038.9100000000001</v>
      </c>
      <c r="J133" s="108">
        <f t="shared" si="36"/>
        <v>10389.1</v>
      </c>
      <c r="K133" s="158">
        <f t="shared" si="30"/>
        <v>11103.699999999999</v>
      </c>
      <c r="L133" s="159">
        <f t="shared" si="40"/>
        <v>-714.59999999999854</v>
      </c>
      <c r="M133" s="108">
        <f t="shared" si="26"/>
        <v>55.271291069877087</v>
      </c>
      <c r="N133" s="160">
        <f t="shared" si="27"/>
        <v>-659.32870893012148</v>
      </c>
      <c r="O133" s="108">
        <v>0</v>
      </c>
      <c r="P133" s="108">
        <v>0</v>
      </c>
      <c r="Q133" s="108">
        <v>0</v>
      </c>
      <c r="R133" s="160">
        <f t="shared" si="28"/>
        <v>-659.32870893012148</v>
      </c>
    </row>
    <row r="134" spans="1:18" x14ac:dyDescent="0.2">
      <c r="A134" s="89">
        <v>7</v>
      </c>
      <c r="B134" s="154">
        <f t="shared" si="35"/>
        <v>45839</v>
      </c>
      <c r="C134" s="171">
        <f t="shared" si="37"/>
        <v>45874</v>
      </c>
      <c r="D134" s="171">
        <f t="shared" si="37"/>
        <v>45894</v>
      </c>
      <c r="E134" s="1" t="s">
        <v>15</v>
      </c>
      <c r="F134" s="89">
        <v>9</v>
      </c>
      <c r="G134" s="156">
        <v>17</v>
      </c>
      <c r="H134" s="157">
        <f t="shared" si="25"/>
        <v>1110.3699999999999</v>
      </c>
      <c r="I134" s="157">
        <f t="shared" si="39"/>
        <v>1038.9100000000001</v>
      </c>
      <c r="J134" s="108">
        <f t="shared" si="36"/>
        <v>17661.47</v>
      </c>
      <c r="K134" s="158">
        <f t="shared" ref="K134:K197" si="41">+$G134*H134</f>
        <v>18876.289999999997</v>
      </c>
      <c r="L134" s="159">
        <f t="shared" si="40"/>
        <v>-1214.8199999999961</v>
      </c>
      <c r="M134" s="108">
        <f t="shared" si="26"/>
        <v>93.961194818791043</v>
      </c>
      <c r="N134" s="160">
        <f t="shared" si="27"/>
        <v>-1120.8588051812051</v>
      </c>
      <c r="O134" s="108">
        <v>0</v>
      </c>
      <c r="P134" s="108">
        <v>0</v>
      </c>
      <c r="Q134" s="108">
        <v>0</v>
      </c>
      <c r="R134" s="160">
        <f t="shared" si="28"/>
        <v>-1120.8588051812051</v>
      </c>
    </row>
    <row r="135" spans="1:18" x14ac:dyDescent="0.2">
      <c r="A135" s="89">
        <v>8</v>
      </c>
      <c r="B135" s="154">
        <f t="shared" si="35"/>
        <v>45870</v>
      </c>
      <c r="C135" s="171">
        <f t="shared" si="37"/>
        <v>45904</v>
      </c>
      <c r="D135" s="171">
        <f t="shared" si="37"/>
        <v>45924</v>
      </c>
      <c r="E135" s="1" t="s">
        <v>15</v>
      </c>
      <c r="F135" s="89">
        <v>9</v>
      </c>
      <c r="G135" s="156">
        <v>16</v>
      </c>
      <c r="H135" s="157">
        <f t="shared" si="25"/>
        <v>1110.3699999999999</v>
      </c>
      <c r="I135" s="157">
        <f t="shared" si="39"/>
        <v>1038.9100000000001</v>
      </c>
      <c r="J135" s="108">
        <f t="shared" si="36"/>
        <v>16622.560000000001</v>
      </c>
      <c r="K135" s="158">
        <f t="shared" si="41"/>
        <v>17765.919999999998</v>
      </c>
      <c r="L135" s="159">
        <f t="shared" si="40"/>
        <v>-1143.3599999999969</v>
      </c>
      <c r="M135" s="108">
        <f t="shared" si="26"/>
        <v>88.434065711803328</v>
      </c>
      <c r="N135" s="160">
        <f t="shared" si="27"/>
        <v>-1054.9259342881937</v>
      </c>
      <c r="O135" s="108">
        <v>0</v>
      </c>
      <c r="P135" s="108">
        <v>0</v>
      </c>
      <c r="Q135" s="108">
        <v>0</v>
      </c>
      <c r="R135" s="160">
        <f t="shared" si="28"/>
        <v>-1054.9259342881937</v>
      </c>
    </row>
    <row r="136" spans="1:18" x14ac:dyDescent="0.2">
      <c r="A136" s="89">
        <v>9</v>
      </c>
      <c r="B136" s="154">
        <f t="shared" si="35"/>
        <v>45901</v>
      </c>
      <c r="C136" s="171">
        <f t="shared" si="37"/>
        <v>45933</v>
      </c>
      <c r="D136" s="171">
        <f t="shared" si="37"/>
        <v>45954</v>
      </c>
      <c r="E136" s="1" t="s">
        <v>15</v>
      </c>
      <c r="F136" s="89">
        <v>9</v>
      </c>
      <c r="G136" s="156">
        <v>8</v>
      </c>
      <c r="H136" s="157">
        <f t="shared" si="25"/>
        <v>1110.3699999999999</v>
      </c>
      <c r="I136" s="157">
        <f t="shared" si="39"/>
        <v>1038.9100000000001</v>
      </c>
      <c r="J136" s="108">
        <f t="shared" si="36"/>
        <v>8311.2800000000007</v>
      </c>
      <c r="K136" s="158">
        <f t="shared" si="41"/>
        <v>8882.9599999999991</v>
      </c>
      <c r="L136" s="159">
        <f t="shared" si="40"/>
        <v>-571.67999999999847</v>
      </c>
      <c r="M136" s="108">
        <f t="shared" si="26"/>
        <v>44.217032855901664</v>
      </c>
      <c r="N136" s="160">
        <f t="shared" si="27"/>
        <v>-527.46296714409687</v>
      </c>
      <c r="O136" s="108">
        <v>0</v>
      </c>
      <c r="P136" s="108">
        <v>0</v>
      </c>
      <c r="Q136" s="108">
        <v>0</v>
      </c>
      <c r="R136" s="160">
        <f t="shared" si="28"/>
        <v>-527.46296714409687</v>
      </c>
    </row>
    <row r="137" spans="1:18" x14ac:dyDescent="0.2">
      <c r="A137" s="89">
        <v>10</v>
      </c>
      <c r="B137" s="154">
        <f t="shared" si="35"/>
        <v>45931</v>
      </c>
      <c r="C137" s="171">
        <f t="shared" si="37"/>
        <v>45966</v>
      </c>
      <c r="D137" s="171">
        <f t="shared" si="37"/>
        <v>45985</v>
      </c>
      <c r="E137" s="1" t="s">
        <v>15</v>
      </c>
      <c r="F137" s="89">
        <v>9</v>
      </c>
      <c r="G137" s="156">
        <v>8</v>
      </c>
      <c r="H137" s="157">
        <f t="shared" si="25"/>
        <v>1110.3699999999999</v>
      </c>
      <c r="I137" s="157">
        <f t="shared" si="39"/>
        <v>1038.9100000000001</v>
      </c>
      <c r="J137" s="108">
        <f t="shared" si="36"/>
        <v>8311.2800000000007</v>
      </c>
      <c r="K137" s="158">
        <f t="shared" si="41"/>
        <v>8882.9599999999991</v>
      </c>
      <c r="L137" s="159">
        <f t="shared" si="40"/>
        <v>-571.67999999999847</v>
      </c>
      <c r="M137" s="108">
        <f t="shared" si="26"/>
        <v>44.217032855901664</v>
      </c>
      <c r="N137" s="160">
        <f t="shared" si="27"/>
        <v>-527.46296714409687</v>
      </c>
      <c r="O137" s="108">
        <v>0</v>
      </c>
      <c r="P137" s="108">
        <v>0</v>
      </c>
      <c r="Q137" s="108">
        <v>0</v>
      </c>
      <c r="R137" s="160">
        <f t="shared" si="28"/>
        <v>-527.46296714409687</v>
      </c>
    </row>
    <row r="138" spans="1:18" x14ac:dyDescent="0.2">
      <c r="A138" s="89">
        <v>11</v>
      </c>
      <c r="B138" s="154">
        <f t="shared" si="35"/>
        <v>45962</v>
      </c>
      <c r="C138" s="171">
        <f t="shared" si="37"/>
        <v>45994</v>
      </c>
      <c r="D138" s="171">
        <f t="shared" si="37"/>
        <v>46015</v>
      </c>
      <c r="E138" s="1" t="s">
        <v>15</v>
      </c>
      <c r="F138" s="89">
        <v>9</v>
      </c>
      <c r="G138" s="156">
        <v>6</v>
      </c>
      <c r="H138" s="157">
        <f t="shared" si="25"/>
        <v>1110.3699999999999</v>
      </c>
      <c r="I138" s="157">
        <f t="shared" si="39"/>
        <v>1038.9100000000001</v>
      </c>
      <c r="J138" s="108">
        <f t="shared" si="36"/>
        <v>6233.4600000000009</v>
      </c>
      <c r="K138" s="158">
        <f t="shared" si="41"/>
        <v>6662.2199999999993</v>
      </c>
      <c r="L138" s="159">
        <f t="shared" si="40"/>
        <v>-428.7599999999984</v>
      </c>
      <c r="M138" s="108">
        <f t="shared" si="26"/>
        <v>33.162774641926255</v>
      </c>
      <c r="N138" s="160">
        <f t="shared" si="27"/>
        <v>-395.59722535807214</v>
      </c>
      <c r="O138" s="108">
        <v>0</v>
      </c>
      <c r="P138" s="108">
        <v>0</v>
      </c>
      <c r="Q138" s="108">
        <v>0</v>
      </c>
      <c r="R138" s="160">
        <f t="shared" si="28"/>
        <v>-395.59722535807214</v>
      </c>
    </row>
    <row r="139" spans="1:18" s="175" customFormat="1" x14ac:dyDescent="0.2">
      <c r="A139" s="89">
        <v>12</v>
      </c>
      <c r="B139" s="173">
        <f t="shared" si="35"/>
        <v>45992</v>
      </c>
      <c r="C139" s="171">
        <f t="shared" si="37"/>
        <v>46028</v>
      </c>
      <c r="D139" s="171">
        <f t="shared" si="37"/>
        <v>46048</v>
      </c>
      <c r="E139" s="174" t="s">
        <v>15</v>
      </c>
      <c r="F139" s="131">
        <v>9</v>
      </c>
      <c r="G139" s="162">
        <v>7</v>
      </c>
      <c r="H139" s="163">
        <f t="shared" si="25"/>
        <v>1110.3699999999999</v>
      </c>
      <c r="I139" s="163">
        <f t="shared" si="39"/>
        <v>1038.9100000000001</v>
      </c>
      <c r="J139" s="164">
        <f t="shared" si="36"/>
        <v>7272.3700000000008</v>
      </c>
      <c r="K139" s="165">
        <f t="shared" si="41"/>
        <v>7772.5899999999992</v>
      </c>
      <c r="L139" s="166">
        <f t="shared" si="40"/>
        <v>-500.21999999999844</v>
      </c>
      <c r="M139" s="164">
        <f t="shared" si="26"/>
        <v>38.689903748913956</v>
      </c>
      <c r="N139" s="185">
        <f t="shared" si="27"/>
        <v>-461.5300962510845</v>
      </c>
      <c r="O139" s="164">
        <v>0</v>
      </c>
      <c r="P139" s="164">
        <v>0</v>
      </c>
      <c r="Q139" s="164">
        <v>0</v>
      </c>
      <c r="R139" s="185">
        <f t="shared" si="28"/>
        <v>-461.5300962510845</v>
      </c>
    </row>
    <row r="140" spans="1:18" x14ac:dyDescent="0.2">
      <c r="A140" s="89">
        <v>1</v>
      </c>
      <c r="B140" s="154">
        <f t="shared" si="35"/>
        <v>45658</v>
      </c>
      <c r="C140" s="168">
        <f t="shared" ref="C140:D151" si="42">+C128</f>
        <v>45693</v>
      </c>
      <c r="D140" s="168">
        <f t="shared" si="42"/>
        <v>45712</v>
      </c>
      <c r="E140" s="178" t="s">
        <v>16</v>
      </c>
      <c r="F140" s="89">
        <v>9</v>
      </c>
      <c r="G140" s="156">
        <v>2</v>
      </c>
      <c r="H140" s="157">
        <f t="shared" si="25"/>
        <v>1110.3699999999999</v>
      </c>
      <c r="I140" s="157">
        <f t="shared" si="39"/>
        <v>1038.9100000000001</v>
      </c>
      <c r="J140" s="108">
        <f t="shared" si="36"/>
        <v>2077.8200000000002</v>
      </c>
      <c r="K140" s="158">
        <f t="shared" si="41"/>
        <v>2220.7399999999998</v>
      </c>
      <c r="L140" s="159">
        <f t="shared" si="40"/>
        <v>-142.91999999999962</v>
      </c>
      <c r="M140" s="108">
        <f t="shared" si="26"/>
        <v>11.054258213975416</v>
      </c>
      <c r="N140" s="160">
        <f t="shared" si="27"/>
        <v>-131.86574178602422</v>
      </c>
      <c r="O140" s="108">
        <v>0</v>
      </c>
      <c r="P140" s="108">
        <v>0</v>
      </c>
      <c r="Q140" s="108">
        <v>0</v>
      </c>
      <c r="R140" s="160">
        <f t="shared" si="28"/>
        <v>-131.86574178602422</v>
      </c>
    </row>
    <row r="141" spans="1:18" x14ac:dyDescent="0.2">
      <c r="A141" s="89">
        <v>2</v>
      </c>
      <c r="B141" s="154">
        <f t="shared" si="35"/>
        <v>45689</v>
      </c>
      <c r="C141" s="171">
        <f t="shared" si="42"/>
        <v>45721</v>
      </c>
      <c r="D141" s="171">
        <f t="shared" si="42"/>
        <v>45740</v>
      </c>
      <c r="E141" s="1" t="s">
        <v>16</v>
      </c>
      <c r="F141" s="89">
        <v>9</v>
      </c>
      <c r="G141" s="156">
        <v>3</v>
      </c>
      <c r="H141" s="157">
        <f t="shared" si="25"/>
        <v>1110.3699999999999</v>
      </c>
      <c r="I141" s="157">
        <f t="shared" si="39"/>
        <v>1038.9100000000001</v>
      </c>
      <c r="J141" s="108">
        <f t="shared" si="36"/>
        <v>3116.7300000000005</v>
      </c>
      <c r="K141" s="158">
        <f t="shared" si="41"/>
        <v>3331.1099999999997</v>
      </c>
      <c r="L141" s="159">
        <f t="shared" si="40"/>
        <v>-214.3799999999992</v>
      </c>
      <c r="M141" s="108">
        <f t="shared" si="26"/>
        <v>16.581387320963128</v>
      </c>
      <c r="N141" s="160">
        <f t="shared" si="27"/>
        <v>-197.79861267903607</v>
      </c>
      <c r="O141" s="108">
        <v>0</v>
      </c>
      <c r="P141" s="108">
        <v>0</v>
      </c>
      <c r="Q141" s="108">
        <v>0</v>
      </c>
      <c r="R141" s="160">
        <f t="shared" si="28"/>
        <v>-197.79861267903607</v>
      </c>
    </row>
    <row r="142" spans="1:18" x14ac:dyDescent="0.2">
      <c r="A142" s="89">
        <v>3</v>
      </c>
      <c r="B142" s="154">
        <f t="shared" si="35"/>
        <v>45717</v>
      </c>
      <c r="C142" s="171">
        <f t="shared" si="42"/>
        <v>45750</v>
      </c>
      <c r="D142" s="171">
        <f t="shared" si="42"/>
        <v>45771</v>
      </c>
      <c r="E142" s="1" t="s">
        <v>16</v>
      </c>
      <c r="F142" s="89">
        <v>9</v>
      </c>
      <c r="G142" s="156">
        <v>2</v>
      </c>
      <c r="H142" s="157">
        <f t="shared" si="25"/>
        <v>1110.3699999999999</v>
      </c>
      <c r="I142" s="157">
        <f t="shared" si="39"/>
        <v>1038.9100000000001</v>
      </c>
      <c r="J142" s="108">
        <f t="shared" si="36"/>
        <v>2077.8200000000002</v>
      </c>
      <c r="K142" s="158">
        <f t="shared" si="41"/>
        <v>2220.7399999999998</v>
      </c>
      <c r="L142" s="159">
        <f>+J142-K142</f>
        <v>-142.91999999999962</v>
      </c>
      <c r="M142" s="108">
        <f t="shared" si="26"/>
        <v>11.054258213975416</v>
      </c>
      <c r="N142" s="160">
        <f t="shared" si="27"/>
        <v>-131.86574178602422</v>
      </c>
      <c r="O142" s="108">
        <v>0</v>
      </c>
      <c r="P142" s="108">
        <v>0</v>
      </c>
      <c r="Q142" s="108">
        <v>0</v>
      </c>
      <c r="R142" s="160">
        <f t="shared" si="28"/>
        <v>-131.86574178602422</v>
      </c>
    </row>
    <row r="143" spans="1:18" x14ac:dyDescent="0.2">
      <c r="A143" s="89">
        <v>4</v>
      </c>
      <c r="B143" s="154">
        <f t="shared" si="35"/>
        <v>45748</v>
      </c>
      <c r="C143" s="171">
        <f t="shared" si="42"/>
        <v>45782</v>
      </c>
      <c r="D143" s="171">
        <f t="shared" si="42"/>
        <v>45803</v>
      </c>
      <c r="E143" s="1" t="s">
        <v>16</v>
      </c>
      <c r="F143" s="89">
        <v>9</v>
      </c>
      <c r="G143" s="156">
        <v>1</v>
      </c>
      <c r="H143" s="157">
        <f t="shared" si="25"/>
        <v>1110.3699999999999</v>
      </c>
      <c r="I143" s="157">
        <f t="shared" si="39"/>
        <v>1038.9100000000001</v>
      </c>
      <c r="J143" s="108">
        <f t="shared" si="36"/>
        <v>1038.9100000000001</v>
      </c>
      <c r="K143" s="158">
        <f t="shared" si="41"/>
        <v>1110.3699999999999</v>
      </c>
      <c r="L143" s="159">
        <f t="shared" ref="L143:L153" si="43">+J143-K143</f>
        <v>-71.459999999999809</v>
      </c>
      <c r="M143" s="108">
        <f t="shared" si="26"/>
        <v>5.527129106987708</v>
      </c>
      <c r="N143" s="160">
        <f t="shared" si="27"/>
        <v>-65.932870893012108</v>
      </c>
      <c r="O143" s="108">
        <v>0</v>
      </c>
      <c r="P143" s="108">
        <v>0</v>
      </c>
      <c r="Q143" s="108">
        <v>0</v>
      </c>
      <c r="R143" s="160">
        <f t="shared" si="28"/>
        <v>-65.932870893012108</v>
      </c>
    </row>
    <row r="144" spans="1:18" x14ac:dyDescent="0.2">
      <c r="A144" s="89">
        <v>5</v>
      </c>
      <c r="B144" s="154">
        <f t="shared" si="35"/>
        <v>45778</v>
      </c>
      <c r="C144" s="171">
        <f t="shared" si="42"/>
        <v>45812</v>
      </c>
      <c r="D144" s="171">
        <f t="shared" si="42"/>
        <v>45832</v>
      </c>
      <c r="E144" s="1" t="s">
        <v>16</v>
      </c>
      <c r="F144" s="89">
        <v>9</v>
      </c>
      <c r="G144" s="156">
        <v>2</v>
      </c>
      <c r="H144" s="157">
        <f t="shared" si="25"/>
        <v>1110.3699999999999</v>
      </c>
      <c r="I144" s="157">
        <f t="shared" si="39"/>
        <v>1038.9100000000001</v>
      </c>
      <c r="J144" s="108">
        <f t="shared" si="36"/>
        <v>2077.8200000000002</v>
      </c>
      <c r="K144" s="158">
        <f t="shared" si="41"/>
        <v>2220.7399999999998</v>
      </c>
      <c r="L144" s="159">
        <f t="shared" si="43"/>
        <v>-142.91999999999962</v>
      </c>
      <c r="M144" s="108">
        <f t="shared" si="26"/>
        <v>11.054258213975416</v>
      </c>
      <c r="N144" s="160">
        <f t="shared" si="27"/>
        <v>-131.86574178602422</v>
      </c>
      <c r="O144" s="108">
        <v>0</v>
      </c>
      <c r="P144" s="108">
        <v>0</v>
      </c>
      <c r="Q144" s="108">
        <v>0</v>
      </c>
      <c r="R144" s="160">
        <f t="shared" si="28"/>
        <v>-131.86574178602422</v>
      </c>
    </row>
    <row r="145" spans="1:18" x14ac:dyDescent="0.2">
      <c r="A145" s="89">
        <v>6</v>
      </c>
      <c r="B145" s="154">
        <f t="shared" si="35"/>
        <v>45809</v>
      </c>
      <c r="C145" s="171">
        <f t="shared" si="42"/>
        <v>45841</v>
      </c>
      <c r="D145" s="171">
        <f t="shared" si="42"/>
        <v>45862</v>
      </c>
      <c r="E145" s="1" t="s">
        <v>16</v>
      </c>
      <c r="F145" s="89">
        <v>9</v>
      </c>
      <c r="G145" s="156">
        <v>3</v>
      </c>
      <c r="H145" s="157">
        <f t="shared" si="25"/>
        <v>1110.3699999999999</v>
      </c>
      <c r="I145" s="157">
        <f t="shared" si="39"/>
        <v>1038.9100000000001</v>
      </c>
      <c r="J145" s="108">
        <f t="shared" si="36"/>
        <v>3116.7300000000005</v>
      </c>
      <c r="K145" s="158">
        <f t="shared" si="41"/>
        <v>3331.1099999999997</v>
      </c>
      <c r="L145" s="159">
        <f t="shared" si="43"/>
        <v>-214.3799999999992</v>
      </c>
      <c r="M145" s="108">
        <f t="shared" si="26"/>
        <v>16.581387320963128</v>
      </c>
      <c r="N145" s="160">
        <f t="shared" si="27"/>
        <v>-197.79861267903607</v>
      </c>
      <c r="O145" s="108">
        <v>0</v>
      </c>
      <c r="P145" s="108">
        <v>0</v>
      </c>
      <c r="Q145" s="108">
        <v>0</v>
      </c>
      <c r="R145" s="160">
        <f t="shared" si="28"/>
        <v>-197.79861267903607</v>
      </c>
    </row>
    <row r="146" spans="1:18" x14ac:dyDescent="0.2">
      <c r="A146" s="89">
        <v>7</v>
      </c>
      <c r="B146" s="154">
        <f t="shared" si="35"/>
        <v>45839</v>
      </c>
      <c r="C146" s="171">
        <f t="shared" si="42"/>
        <v>45874</v>
      </c>
      <c r="D146" s="171">
        <f t="shared" si="42"/>
        <v>45894</v>
      </c>
      <c r="E146" s="1" t="s">
        <v>16</v>
      </c>
      <c r="F146" s="89">
        <v>9</v>
      </c>
      <c r="G146" s="156">
        <v>7</v>
      </c>
      <c r="H146" s="157">
        <f t="shared" si="25"/>
        <v>1110.3699999999999</v>
      </c>
      <c r="I146" s="157">
        <f t="shared" si="39"/>
        <v>1038.9100000000001</v>
      </c>
      <c r="J146" s="108">
        <f t="shared" si="36"/>
        <v>7272.3700000000008</v>
      </c>
      <c r="K146" s="158">
        <f t="shared" si="41"/>
        <v>7772.5899999999992</v>
      </c>
      <c r="L146" s="159">
        <f t="shared" si="43"/>
        <v>-500.21999999999844</v>
      </c>
      <c r="M146" s="108">
        <f t="shared" si="26"/>
        <v>38.689903748913956</v>
      </c>
      <c r="N146" s="160">
        <f t="shared" si="27"/>
        <v>-461.5300962510845</v>
      </c>
      <c r="O146" s="108">
        <v>0</v>
      </c>
      <c r="P146" s="108">
        <v>0</v>
      </c>
      <c r="Q146" s="108">
        <v>0</v>
      </c>
      <c r="R146" s="160">
        <f t="shared" si="28"/>
        <v>-461.5300962510845</v>
      </c>
    </row>
    <row r="147" spans="1:18" x14ac:dyDescent="0.2">
      <c r="A147" s="89">
        <v>8</v>
      </c>
      <c r="B147" s="154">
        <f t="shared" si="35"/>
        <v>45870</v>
      </c>
      <c r="C147" s="171">
        <f t="shared" si="42"/>
        <v>45904</v>
      </c>
      <c r="D147" s="171">
        <f t="shared" si="42"/>
        <v>45924</v>
      </c>
      <c r="E147" s="1" t="s">
        <v>16</v>
      </c>
      <c r="F147" s="89">
        <v>9</v>
      </c>
      <c r="G147" s="156">
        <v>5</v>
      </c>
      <c r="H147" s="157">
        <f t="shared" si="25"/>
        <v>1110.3699999999999</v>
      </c>
      <c r="I147" s="157">
        <f t="shared" si="39"/>
        <v>1038.9100000000001</v>
      </c>
      <c r="J147" s="108">
        <f t="shared" si="36"/>
        <v>5194.55</v>
      </c>
      <c r="K147" s="158">
        <f t="shared" si="41"/>
        <v>5551.8499999999995</v>
      </c>
      <c r="L147" s="159">
        <f t="shared" si="43"/>
        <v>-357.29999999999927</v>
      </c>
      <c r="M147" s="108">
        <f t="shared" si="26"/>
        <v>27.635645534938543</v>
      </c>
      <c r="N147" s="160">
        <f t="shared" si="27"/>
        <v>-329.66435446506074</v>
      </c>
      <c r="O147" s="108">
        <v>0</v>
      </c>
      <c r="P147" s="108">
        <v>0</v>
      </c>
      <c r="Q147" s="108">
        <v>0</v>
      </c>
      <c r="R147" s="160">
        <f t="shared" si="28"/>
        <v>-329.66435446506074</v>
      </c>
    </row>
    <row r="148" spans="1:18" x14ac:dyDescent="0.2">
      <c r="A148" s="89">
        <v>9</v>
      </c>
      <c r="B148" s="154">
        <f t="shared" si="35"/>
        <v>45901</v>
      </c>
      <c r="C148" s="171">
        <f t="shared" si="42"/>
        <v>45933</v>
      </c>
      <c r="D148" s="171">
        <f t="shared" si="42"/>
        <v>45954</v>
      </c>
      <c r="E148" s="1" t="s">
        <v>16</v>
      </c>
      <c r="F148" s="89">
        <v>9</v>
      </c>
      <c r="G148" s="156">
        <v>2</v>
      </c>
      <c r="H148" s="157">
        <f t="shared" si="25"/>
        <v>1110.3699999999999</v>
      </c>
      <c r="I148" s="157">
        <f t="shared" ref="I148:I179" si="44">$J$3</f>
        <v>1038.9100000000001</v>
      </c>
      <c r="J148" s="108">
        <f t="shared" si="36"/>
        <v>2077.8200000000002</v>
      </c>
      <c r="K148" s="158">
        <f t="shared" si="41"/>
        <v>2220.7399999999998</v>
      </c>
      <c r="L148" s="159">
        <f t="shared" si="43"/>
        <v>-142.91999999999962</v>
      </c>
      <c r="M148" s="108">
        <f t="shared" si="26"/>
        <v>11.054258213975416</v>
      </c>
      <c r="N148" s="160">
        <f t="shared" si="27"/>
        <v>-131.86574178602422</v>
      </c>
      <c r="O148" s="108">
        <v>0</v>
      </c>
      <c r="P148" s="108">
        <v>0</v>
      </c>
      <c r="Q148" s="108">
        <v>0</v>
      </c>
      <c r="R148" s="160">
        <f t="shared" si="28"/>
        <v>-131.86574178602422</v>
      </c>
    </row>
    <row r="149" spans="1:18" x14ac:dyDescent="0.2">
      <c r="A149" s="89">
        <v>10</v>
      </c>
      <c r="B149" s="154">
        <f t="shared" ref="B149:B211" si="45">DATE($R$1,A149,1)</f>
        <v>45931</v>
      </c>
      <c r="C149" s="171">
        <f t="shared" si="42"/>
        <v>45966</v>
      </c>
      <c r="D149" s="171">
        <f t="shared" si="42"/>
        <v>45985</v>
      </c>
      <c r="E149" s="1" t="s">
        <v>16</v>
      </c>
      <c r="F149" s="89">
        <v>9</v>
      </c>
      <c r="G149" s="156">
        <v>3</v>
      </c>
      <c r="H149" s="157">
        <f t="shared" ref="H149:H211" si="46">+$K$3</f>
        <v>1110.3699999999999</v>
      </c>
      <c r="I149" s="157">
        <f t="shared" si="44"/>
        <v>1038.9100000000001</v>
      </c>
      <c r="J149" s="108">
        <f t="shared" ref="J149:J211" si="47">+$G149*I149</f>
        <v>3116.7300000000005</v>
      </c>
      <c r="K149" s="158">
        <f t="shared" si="41"/>
        <v>3331.1099999999997</v>
      </c>
      <c r="L149" s="159">
        <f t="shared" si="43"/>
        <v>-214.3799999999992</v>
      </c>
      <c r="M149" s="108">
        <f t="shared" ref="M149:M211" si="48">G149/$G$212*$M$14</f>
        <v>16.581387320963128</v>
      </c>
      <c r="N149" s="160">
        <f t="shared" ref="N149:N211" si="49">SUM(L149:M149)</f>
        <v>-197.79861267903607</v>
      </c>
      <c r="O149" s="108">
        <v>0</v>
      </c>
      <c r="P149" s="108">
        <v>0</v>
      </c>
      <c r="Q149" s="108">
        <v>0</v>
      </c>
      <c r="R149" s="160">
        <f t="shared" ref="R149:R211" si="50">+N149-Q149</f>
        <v>-197.79861267903607</v>
      </c>
    </row>
    <row r="150" spans="1:18" x14ac:dyDescent="0.2">
      <c r="A150" s="89">
        <v>11</v>
      </c>
      <c r="B150" s="154">
        <f t="shared" si="45"/>
        <v>45962</v>
      </c>
      <c r="C150" s="171">
        <f t="shared" si="42"/>
        <v>45994</v>
      </c>
      <c r="D150" s="171">
        <f t="shared" si="42"/>
        <v>46015</v>
      </c>
      <c r="E150" s="1" t="s">
        <v>16</v>
      </c>
      <c r="F150" s="89">
        <v>9</v>
      </c>
      <c r="G150" s="156">
        <v>1</v>
      </c>
      <c r="H150" s="157">
        <f t="shared" si="46"/>
        <v>1110.3699999999999</v>
      </c>
      <c r="I150" s="157">
        <f t="shared" si="44"/>
        <v>1038.9100000000001</v>
      </c>
      <c r="J150" s="108">
        <f t="shared" si="47"/>
        <v>1038.9100000000001</v>
      </c>
      <c r="K150" s="158">
        <f t="shared" si="41"/>
        <v>1110.3699999999999</v>
      </c>
      <c r="L150" s="159">
        <f t="shared" si="43"/>
        <v>-71.459999999999809</v>
      </c>
      <c r="M150" s="108">
        <f t="shared" si="48"/>
        <v>5.527129106987708</v>
      </c>
      <c r="N150" s="160">
        <f t="shared" si="49"/>
        <v>-65.932870893012108</v>
      </c>
      <c r="O150" s="108">
        <v>0</v>
      </c>
      <c r="P150" s="108">
        <v>0</v>
      </c>
      <c r="Q150" s="108">
        <v>0</v>
      </c>
      <c r="R150" s="160">
        <f t="shared" si="50"/>
        <v>-65.932870893012108</v>
      </c>
    </row>
    <row r="151" spans="1:18" s="175" customFormat="1" x14ac:dyDescent="0.2">
      <c r="A151" s="89">
        <v>12</v>
      </c>
      <c r="B151" s="173">
        <f t="shared" si="45"/>
        <v>45992</v>
      </c>
      <c r="C151" s="171">
        <f t="shared" si="42"/>
        <v>46028</v>
      </c>
      <c r="D151" s="171">
        <f t="shared" si="42"/>
        <v>46048</v>
      </c>
      <c r="E151" s="174" t="s">
        <v>16</v>
      </c>
      <c r="F151" s="131">
        <v>9</v>
      </c>
      <c r="G151" s="162">
        <v>2</v>
      </c>
      <c r="H151" s="163">
        <f t="shared" si="46"/>
        <v>1110.3699999999999</v>
      </c>
      <c r="I151" s="163">
        <f t="shared" si="44"/>
        <v>1038.9100000000001</v>
      </c>
      <c r="J151" s="164">
        <f t="shared" si="47"/>
        <v>2077.8200000000002</v>
      </c>
      <c r="K151" s="165">
        <f t="shared" si="41"/>
        <v>2220.7399999999998</v>
      </c>
      <c r="L151" s="166">
        <f t="shared" si="43"/>
        <v>-142.91999999999962</v>
      </c>
      <c r="M151" s="164">
        <f t="shared" si="48"/>
        <v>11.054258213975416</v>
      </c>
      <c r="N151" s="185">
        <f t="shared" si="49"/>
        <v>-131.86574178602422</v>
      </c>
      <c r="O151" s="164">
        <v>0</v>
      </c>
      <c r="P151" s="164">
        <v>0</v>
      </c>
      <c r="Q151" s="164">
        <v>0</v>
      </c>
      <c r="R151" s="185">
        <f t="shared" si="50"/>
        <v>-131.86574178602422</v>
      </c>
    </row>
    <row r="152" spans="1:18" x14ac:dyDescent="0.2">
      <c r="A152" s="89">
        <v>1</v>
      </c>
      <c r="B152" s="154">
        <f t="shared" si="45"/>
        <v>45658</v>
      </c>
      <c r="C152" s="168">
        <f t="shared" ref="C152:D171" si="51">+C140</f>
        <v>45693</v>
      </c>
      <c r="D152" s="168">
        <f t="shared" si="51"/>
        <v>45712</v>
      </c>
      <c r="E152" s="178" t="s">
        <v>54</v>
      </c>
      <c r="F152" s="89">
        <v>9</v>
      </c>
      <c r="G152" s="156">
        <v>137</v>
      </c>
      <c r="H152" s="157">
        <f t="shared" si="46"/>
        <v>1110.3699999999999</v>
      </c>
      <c r="I152" s="157">
        <f t="shared" si="44"/>
        <v>1038.9100000000001</v>
      </c>
      <c r="J152" s="108">
        <f t="shared" si="47"/>
        <v>142330.67000000001</v>
      </c>
      <c r="K152" s="158">
        <f t="shared" si="41"/>
        <v>152120.68999999997</v>
      </c>
      <c r="L152" s="159">
        <f t="shared" si="43"/>
        <v>-9790.0199999999604</v>
      </c>
      <c r="M152" s="108">
        <f t="shared" si="48"/>
        <v>757.21668765731602</v>
      </c>
      <c r="N152" s="160">
        <f t="shared" si="49"/>
        <v>-9032.8033123426449</v>
      </c>
      <c r="O152" s="108">
        <v>0</v>
      </c>
      <c r="P152" s="108">
        <v>0</v>
      </c>
      <c r="Q152" s="108">
        <v>0</v>
      </c>
      <c r="R152" s="160">
        <f t="shared" si="50"/>
        <v>-9032.8033123426449</v>
      </c>
    </row>
    <row r="153" spans="1:18" x14ac:dyDescent="0.2">
      <c r="A153" s="89">
        <v>2</v>
      </c>
      <c r="B153" s="154">
        <f t="shared" si="45"/>
        <v>45689</v>
      </c>
      <c r="C153" s="171">
        <f t="shared" si="51"/>
        <v>45721</v>
      </c>
      <c r="D153" s="171">
        <f t="shared" si="51"/>
        <v>45740</v>
      </c>
      <c r="E153" s="179" t="s">
        <v>54</v>
      </c>
      <c r="F153" s="89">
        <v>9</v>
      </c>
      <c r="G153" s="156">
        <v>156</v>
      </c>
      <c r="H153" s="157">
        <f t="shared" si="46"/>
        <v>1110.3699999999999</v>
      </c>
      <c r="I153" s="157">
        <f t="shared" si="44"/>
        <v>1038.9100000000001</v>
      </c>
      <c r="J153" s="108">
        <f t="shared" si="47"/>
        <v>162069.96000000002</v>
      </c>
      <c r="K153" s="158">
        <f t="shared" si="41"/>
        <v>173217.71999999997</v>
      </c>
      <c r="L153" s="159">
        <f t="shared" si="43"/>
        <v>-11147.759999999951</v>
      </c>
      <c r="M153" s="108">
        <f t="shared" si="48"/>
        <v>862.23214069008259</v>
      </c>
      <c r="N153" s="160">
        <f t="shared" si="49"/>
        <v>-10285.527859309868</v>
      </c>
      <c r="O153" s="108">
        <v>0</v>
      </c>
      <c r="P153" s="108">
        <v>0</v>
      </c>
      <c r="Q153" s="108">
        <v>0</v>
      </c>
      <c r="R153" s="160">
        <f t="shared" si="50"/>
        <v>-10285.527859309868</v>
      </c>
    </row>
    <row r="154" spans="1:18" x14ac:dyDescent="0.2">
      <c r="A154" s="89">
        <v>3</v>
      </c>
      <c r="B154" s="154">
        <f t="shared" si="45"/>
        <v>45717</v>
      </c>
      <c r="C154" s="171">
        <f t="shared" si="51"/>
        <v>45750</v>
      </c>
      <c r="D154" s="171">
        <f t="shared" si="51"/>
        <v>45771</v>
      </c>
      <c r="E154" s="179" t="s">
        <v>54</v>
      </c>
      <c r="F154" s="89">
        <v>9</v>
      </c>
      <c r="G154" s="156">
        <v>113</v>
      </c>
      <c r="H154" s="157">
        <f t="shared" si="46"/>
        <v>1110.3699999999999</v>
      </c>
      <c r="I154" s="157">
        <f t="shared" si="44"/>
        <v>1038.9100000000001</v>
      </c>
      <c r="J154" s="108">
        <f t="shared" si="47"/>
        <v>117396.83000000002</v>
      </c>
      <c r="K154" s="158">
        <f t="shared" si="41"/>
        <v>125471.80999999998</v>
      </c>
      <c r="L154" s="159">
        <f>+J154-K154</f>
        <v>-8074.9799999999668</v>
      </c>
      <c r="M154" s="108">
        <f t="shared" si="48"/>
        <v>624.56558908961108</v>
      </c>
      <c r="N154" s="160">
        <f t="shared" si="49"/>
        <v>-7450.4144109103554</v>
      </c>
      <c r="O154" s="108">
        <v>0</v>
      </c>
      <c r="P154" s="108">
        <v>0</v>
      </c>
      <c r="Q154" s="108">
        <v>0</v>
      </c>
      <c r="R154" s="160">
        <f t="shared" si="50"/>
        <v>-7450.4144109103554</v>
      </c>
    </row>
    <row r="155" spans="1:18" x14ac:dyDescent="0.2">
      <c r="A155" s="89">
        <v>4</v>
      </c>
      <c r="B155" s="154">
        <f t="shared" si="45"/>
        <v>45748</v>
      </c>
      <c r="C155" s="171">
        <f t="shared" si="51"/>
        <v>45782</v>
      </c>
      <c r="D155" s="171">
        <f t="shared" si="51"/>
        <v>45803</v>
      </c>
      <c r="E155" s="179" t="s">
        <v>54</v>
      </c>
      <c r="F155" s="89">
        <v>9</v>
      </c>
      <c r="G155" s="156">
        <v>112</v>
      </c>
      <c r="H155" s="157">
        <f t="shared" si="46"/>
        <v>1110.3699999999999</v>
      </c>
      <c r="I155" s="157">
        <f t="shared" si="44"/>
        <v>1038.9100000000001</v>
      </c>
      <c r="J155" s="108">
        <f t="shared" si="47"/>
        <v>116357.92000000001</v>
      </c>
      <c r="K155" s="158">
        <f t="shared" si="41"/>
        <v>124361.43999999999</v>
      </c>
      <c r="L155" s="159">
        <f t="shared" ref="L155:L165" si="52">+J155-K155</f>
        <v>-8003.519999999975</v>
      </c>
      <c r="M155" s="108">
        <f t="shared" si="48"/>
        <v>619.03845998262329</v>
      </c>
      <c r="N155" s="160">
        <f t="shared" si="49"/>
        <v>-7384.481540017352</v>
      </c>
      <c r="O155" s="108">
        <v>0</v>
      </c>
      <c r="P155" s="108">
        <v>0</v>
      </c>
      <c r="Q155" s="108">
        <v>0</v>
      </c>
      <c r="R155" s="160">
        <f t="shared" si="50"/>
        <v>-7384.481540017352</v>
      </c>
    </row>
    <row r="156" spans="1:18" x14ac:dyDescent="0.2">
      <c r="A156" s="89">
        <v>5</v>
      </c>
      <c r="B156" s="154">
        <f t="shared" si="45"/>
        <v>45778</v>
      </c>
      <c r="C156" s="171">
        <f t="shared" si="51"/>
        <v>45812</v>
      </c>
      <c r="D156" s="171">
        <f t="shared" si="51"/>
        <v>45832</v>
      </c>
      <c r="E156" s="179" t="s">
        <v>54</v>
      </c>
      <c r="F156" s="89">
        <v>9</v>
      </c>
      <c r="G156" s="156">
        <v>142</v>
      </c>
      <c r="H156" s="157">
        <f t="shared" si="46"/>
        <v>1110.3699999999999</v>
      </c>
      <c r="I156" s="157">
        <f t="shared" si="44"/>
        <v>1038.9100000000001</v>
      </c>
      <c r="J156" s="108">
        <f t="shared" si="47"/>
        <v>147525.22</v>
      </c>
      <c r="K156" s="158">
        <f t="shared" si="41"/>
        <v>157672.53999999998</v>
      </c>
      <c r="L156" s="159">
        <f t="shared" si="52"/>
        <v>-10147.319999999978</v>
      </c>
      <c r="M156" s="108">
        <f t="shared" si="48"/>
        <v>784.85233319225472</v>
      </c>
      <c r="N156" s="160">
        <f t="shared" si="49"/>
        <v>-9362.4676668077227</v>
      </c>
      <c r="O156" s="108">
        <v>0</v>
      </c>
      <c r="P156" s="108">
        <v>0</v>
      </c>
      <c r="Q156" s="108">
        <v>0</v>
      </c>
      <c r="R156" s="160">
        <f t="shared" si="50"/>
        <v>-9362.4676668077227</v>
      </c>
    </row>
    <row r="157" spans="1:18" x14ac:dyDescent="0.2">
      <c r="A157" s="89">
        <v>6</v>
      </c>
      <c r="B157" s="154">
        <f t="shared" si="45"/>
        <v>45809</v>
      </c>
      <c r="C157" s="171">
        <f t="shared" si="51"/>
        <v>45841</v>
      </c>
      <c r="D157" s="171">
        <f t="shared" si="51"/>
        <v>45862</v>
      </c>
      <c r="E157" s="179" t="s">
        <v>54</v>
      </c>
      <c r="F157" s="89">
        <v>9</v>
      </c>
      <c r="G157" s="156">
        <v>165</v>
      </c>
      <c r="H157" s="157">
        <f t="shared" si="46"/>
        <v>1110.3699999999999</v>
      </c>
      <c r="I157" s="157">
        <f t="shared" si="44"/>
        <v>1038.9100000000001</v>
      </c>
      <c r="J157" s="108">
        <f t="shared" si="47"/>
        <v>171420.15000000002</v>
      </c>
      <c r="K157" s="158">
        <f t="shared" si="41"/>
        <v>183211.05</v>
      </c>
      <c r="L157" s="159">
        <f t="shared" si="52"/>
        <v>-11790.899999999965</v>
      </c>
      <c r="M157" s="108">
        <f t="shared" si="48"/>
        <v>911.97630265297198</v>
      </c>
      <c r="N157" s="160">
        <f t="shared" si="49"/>
        <v>-10878.923697346992</v>
      </c>
      <c r="O157" s="108">
        <v>0</v>
      </c>
      <c r="P157" s="108">
        <v>0</v>
      </c>
      <c r="Q157" s="108">
        <v>0</v>
      </c>
      <c r="R157" s="160">
        <f t="shared" si="50"/>
        <v>-10878.923697346992</v>
      </c>
    </row>
    <row r="158" spans="1:18" x14ac:dyDescent="0.2">
      <c r="A158" s="89">
        <v>7</v>
      </c>
      <c r="B158" s="154">
        <f t="shared" si="45"/>
        <v>45839</v>
      </c>
      <c r="C158" s="171">
        <f t="shared" si="51"/>
        <v>45874</v>
      </c>
      <c r="D158" s="171">
        <f t="shared" si="51"/>
        <v>45894</v>
      </c>
      <c r="E158" s="179" t="s">
        <v>54</v>
      </c>
      <c r="F158" s="89">
        <v>9</v>
      </c>
      <c r="G158" s="156">
        <v>185</v>
      </c>
      <c r="H158" s="157">
        <f t="shared" si="46"/>
        <v>1110.3699999999999</v>
      </c>
      <c r="I158" s="157">
        <f t="shared" si="44"/>
        <v>1038.9100000000001</v>
      </c>
      <c r="J158" s="108">
        <f t="shared" si="47"/>
        <v>192198.35</v>
      </c>
      <c r="K158" s="158">
        <f t="shared" si="41"/>
        <v>205418.44999999998</v>
      </c>
      <c r="L158" s="159">
        <f t="shared" si="52"/>
        <v>-13220.099999999977</v>
      </c>
      <c r="M158" s="108">
        <f t="shared" si="48"/>
        <v>1022.5188847927261</v>
      </c>
      <c r="N158" s="160">
        <f t="shared" si="49"/>
        <v>-12197.581115207251</v>
      </c>
      <c r="O158" s="108">
        <v>0</v>
      </c>
      <c r="P158" s="108">
        <v>0</v>
      </c>
      <c r="Q158" s="108">
        <v>0</v>
      </c>
      <c r="R158" s="160">
        <f t="shared" si="50"/>
        <v>-12197.581115207251</v>
      </c>
    </row>
    <row r="159" spans="1:18" x14ac:dyDescent="0.2">
      <c r="A159" s="89">
        <v>8</v>
      </c>
      <c r="B159" s="154">
        <f t="shared" si="45"/>
        <v>45870</v>
      </c>
      <c r="C159" s="171">
        <f t="shared" si="51"/>
        <v>45904</v>
      </c>
      <c r="D159" s="171">
        <f t="shared" si="51"/>
        <v>45924</v>
      </c>
      <c r="E159" s="179" t="s">
        <v>54</v>
      </c>
      <c r="F159" s="89">
        <v>9</v>
      </c>
      <c r="G159" s="156">
        <v>191</v>
      </c>
      <c r="H159" s="157">
        <f t="shared" si="46"/>
        <v>1110.3699999999999</v>
      </c>
      <c r="I159" s="157">
        <f t="shared" si="44"/>
        <v>1038.9100000000001</v>
      </c>
      <c r="J159" s="108">
        <f t="shared" si="47"/>
        <v>198431.81000000003</v>
      </c>
      <c r="K159" s="158">
        <f t="shared" si="41"/>
        <v>212080.66999999998</v>
      </c>
      <c r="L159" s="159">
        <f t="shared" si="52"/>
        <v>-13648.859999999957</v>
      </c>
      <c r="M159" s="108">
        <f t="shared" si="48"/>
        <v>1055.6816594346524</v>
      </c>
      <c r="N159" s="160">
        <f t="shared" si="49"/>
        <v>-12593.178340565304</v>
      </c>
      <c r="O159" s="108">
        <v>0</v>
      </c>
      <c r="P159" s="108">
        <v>0</v>
      </c>
      <c r="Q159" s="108">
        <v>0</v>
      </c>
      <c r="R159" s="160">
        <f t="shared" si="50"/>
        <v>-12593.178340565304</v>
      </c>
    </row>
    <row r="160" spans="1:18" x14ac:dyDescent="0.2">
      <c r="A160" s="89">
        <v>9</v>
      </c>
      <c r="B160" s="154">
        <f t="shared" si="45"/>
        <v>45901</v>
      </c>
      <c r="C160" s="171">
        <f t="shared" si="51"/>
        <v>45933</v>
      </c>
      <c r="D160" s="171">
        <f t="shared" si="51"/>
        <v>45954</v>
      </c>
      <c r="E160" s="179" t="s">
        <v>54</v>
      </c>
      <c r="F160" s="89">
        <v>9</v>
      </c>
      <c r="G160" s="156">
        <v>140</v>
      </c>
      <c r="H160" s="157">
        <f t="shared" si="46"/>
        <v>1110.3699999999999</v>
      </c>
      <c r="I160" s="157">
        <f t="shared" si="44"/>
        <v>1038.9100000000001</v>
      </c>
      <c r="J160" s="108">
        <f t="shared" si="47"/>
        <v>145447.40000000002</v>
      </c>
      <c r="K160" s="158">
        <f t="shared" si="41"/>
        <v>155451.79999999999</v>
      </c>
      <c r="L160" s="159">
        <f t="shared" si="52"/>
        <v>-10004.399999999965</v>
      </c>
      <c r="M160" s="108">
        <f t="shared" si="48"/>
        <v>773.79807497827926</v>
      </c>
      <c r="N160" s="160">
        <f t="shared" si="49"/>
        <v>-9230.601925021685</v>
      </c>
      <c r="O160" s="108">
        <v>0</v>
      </c>
      <c r="P160" s="108">
        <v>0</v>
      </c>
      <c r="Q160" s="108">
        <v>0</v>
      </c>
      <c r="R160" s="160">
        <f t="shared" si="50"/>
        <v>-9230.601925021685</v>
      </c>
    </row>
    <row r="161" spans="1:18" x14ac:dyDescent="0.2">
      <c r="A161" s="89">
        <v>10</v>
      </c>
      <c r="B161" s="154">
        <f t="shared" si="45"/>
        <v>45931</v>
      </c>
      <c r="C161" s="171">
        <f t="shared" si="51"/>
        <v>45966</v>
      </c>
      <c r="D161" s="171">
        <f t="shared" si="51"/>
        <v>45985</v>
      </c>
      <c r="E161" s="179" t="s">
        <v>54</v>
      </c>
      <c r="F161" s="89">
        <v>9</v>
      </c>
      <c r="G161" s="156">
        <v>137</v>
      </c>
      <c r="H161" s="157">
        <f t="shared" si="46"/>
        <v>1110.3699999999999</v>
      </c>
      <c r="I161" s="157">
        <f t="shared" si="44"/>
        <v>1038.9100000000001</v>
      </c>
      <c r="J161" s="108">
        <f t="shared" si="47"/>
        <v>142330.67000000001</v>
      </c>
      <c r="K161" s="158">
        <f t="shared" si="41"/>
        <v>152120.68999999997</v>
      </c>
      <c r="L161" s="159">
        <f t="shared" si="52"/>
        <v>-9790.0199999999604</v>
      </c>
      <c r="M161" s="108">
        <f t="shared" si="48"/>
        <v>757.21668765731602</v>
      </c>
      <c r="N161" s="160">
        <f t="shared" si="49"/>
        <v>-9032.8033123426449</v>
      </c>
      <c r="O161" s="108">
        <v>0</v>
      </c>
      <c r="P161" s="108">
        <v>0</v>
      </c>
      <c r="Q161" s="108">
        <v>0</v>
      </c>
      <c r="R161" s="160">
        <f t="shared" si="50"/>
        <v>-9032.8033123426449</v>
      </c>
    </row>
    <row r="162" spans="1:18" x14ac:dyDescent="0.2">
      <c r="A162" s="89">
        <v>11</v>
      </c>
      <c r="B162" s="154">
        <f t="shared" si="45"/>
        <v>45962</v>
      </c>
      <c r="C162" s="171">
        <f t="shared" si="51"/>
        <v>45994</v>
      </c>
      <c r="D162" s="171">
        <f t="shared" si="51"/>
        <v>46015</v>
      </c>
      <c r="E162" s="179" t="s">
        <v>54</v>
      </c>
      <c r="F162" s="89">
        <v>9</v>
      </c>
      <c r="G162" s="156">
        <v>120</v>
      </c>
      <c r="H162" s="157">
        <f t="shared" si="46"/>
        <v>1110.3699999999999</v>
      </c>
      <c r="I162" s="157">
        <f t="shared" si="44"/>
        <v>1038.9100000000001</v>
      </c>
      <c r="J162" s="108">
        <f t="shared" si="47"/>
        <v>124669.20000000001</v>
      </c>
      <c r="K162" s="158">
        <f t="shared" si="41"/>
        <v>133244.4</v>
      </c>
      <c r="L162" s="159">
        <f t="shared" si="52"/>
        <v>-8575.1999999999825</v>
      </c>
      <c r="M162" s="108">
        <f t="shared" si="48"/>
        <v>663.25549283852502</v>
      </c>
      <c r="N162" s="160">
        <f t="shared" si="49"/>
        <v>-7911.9445071614573</v>
      </c>
      <c r="O162" s="108">
        <v>0</v>
      </c>
      <c r="P162" s="108">
        <v>0</v>
      </c>
      <c r="Q162" s="108">
        <v>0</v>
      </c>
      <c r="R162" s="160">
        <f t="shared" si="50"/>
        <v>-7911.9445071614573</v>
      </c>
    </row>
    <row r="163" spans="1:18" s="175" customFormat="1" x14ac:dyDescent="0.2">
      <c r="A163" s="89">
        <v>12</v>
      </c>
      <c r="B163" s="173">
        <f t="shared" si="45"/>
        <v>45992</v>
      </c>
      <c r="C163" s="171">
        <f t="shared" si="51"/>
        <v>46028</v>
      </c>
      <c r="D163" s="171">
        <f t="shared" si="51"/>
        <v>46048</v>
      </c>
      <c r="E163" s="180" t="s">
        <v>54</v>
      </c>
      <c r="F163" s="131">
        <v>9</v>
      </c>
      <c r="G163" s="162">
        <v>128</v>
      </c>
      <c r="H163" s="163">
        <f t="shared" si="46"/>
        <v>1110.3699999999999</v>
      </c>
      <c r="I163" s="163">
        <f t="shared" si="44"/>
        <v>1038.9100000000001</v>
      </c>
      <c r="J163" s="164">
        <f t="shared" si="47"/>
        <v>132980.48000000001</v>
      </c>
      <c r="K163" s="165">
        <f t="shared" si="41"/>
        <v>142127.35999999999</v>
      </c>
      <c r="L163" s="166">
        <f t="shared" si="52"/>
        <v>-9146.8799999999756</v>
      </c>
      <c r="M163" s="164">
        <f t="shared" si="48"/>
        <v>707.47252569442662</v>
      </c>
      <c r="N163" s="185">
        <f t="shared" si="49"/>
        <v>-8439.4074743055498</v>
      </c>
      <c r="O163" s="164">
        <v>0</v>
      </c>
      <c r="P163" s="164">
        <v>0</v>
      </c>
      <c r="Q163" s="164">
        <v>0</v>
      </c>
      <c r="R163" s="185">
        <f t="shared" si="50"/>
        <v>-8439.4074743055498</v>
      </c>
    </row>
    <row r="164" spans="1:18" x14ac:dyDescent="0.2">
      <c r="A164" s="89">
        <v>1</v>
      </c>
      <c r="B164" s="154">
        <f t="shared" si="45"/>
        <v>45658</v>
      </c>
      <c r="C164" s="168">
        <f t="shared" si="51"/>
        <v>45693</v>
      </c>
      <c r="D164" s="168">
        <f t="shared" si="51"/>
        <v>45712</v>
      </c>
      <c r="E164" s="178" t="s">
        <v>55</v>
      </c>
      <c r="F164" s="89">
        <v>9</v>
      </c>
      <c r="G164" s="156">
        <v>11</v>
      </c>
      <c r="H164" s="157">
        <f t="shared" si="46"/>
        <v>1110.3699999999999</v>
      </c>
      <c r="I164" s="157">
        <f t="shared" si="44"/>
        <v>1038.9100000000001</v>
      </c>
      <c r="J164" s="108">
        <f t="shared" si="47"/>
        <v>11428.01</v>
      </c>
      <c r="K164" s="158">
        <f t="shared" si="41"/>
        <v>12214.07</v>
      </c>
      <c r="L164" s="159">
        <f t="shared" si="52"/>
        <v>-786.05999999999949</v>
      </c>
      <c r="M164" s="108">
        <f t="shared" si="48"/>
        <v>60.798420176864802</v>
      </c>
      <c r="N164" s="160">
        <f t="shared" si="49"/>
        <v>-725.26157982313464</v>
      </c>
      <c r="O164" s="108">
        <v>0</v>
      </c>
      <c r="P164" s="108">
        <v>0</v>
      </c>
      <c r="Q164" s="108">
        <v>0</v>
      </c>
      <c r="R164" s="160">
        <f t="shared" si="50"/>
        <v>-725.26157982313464</v>
      </c>
    </row>
    <row r="165" spans="1:18" x14ac:dyDescent="0.2">
      <c r="A165" s="89">
        <v>2</v>
      </c>
      <c r="B165" s="154">
        <f t="shared" si="45"/>
        <v>45689</v>
      </c>
      <c r="C165" s="171">
        <f t="shared" si="51"/>
        <v>45721</v>
      </c>
      <c r="D165" s="171">
        <f t="shared" si="51"/>
        <v>45740</v>
      </c>
      <c r="E165" s="179" t="s">
        <v>55</v>
      </c>
      <c r="F165" s="89">
        <v>9</v>
      </c>
      <c r="G165" s="156">
        <v>9</v>
      </c>
      <c r="H165" s="157">
        <f t="shared" si="46"/>
        <v>1110.3699999999999</v>
      </c>
      <c r="I165" s="157">
        <f t="shared" si="44"/>
        <v>1038.9100000000001</v>
      </c>
      <c r="J165" s="108">
        <f t="shared" si="47"/>
        <v>9350.19</v>
      </c>
      <c r="K165" s="158">
        <f t="shared" si="41"/>
        <v>9993.3299999999981</v>
      </c>
      <c r="L165" s="159">
        <f t="shared" si="52"/>
        <v>-643.1399999999976</v>
      </c>
      <c r="M165" s="108">
        <f t="shared" si="48"/>
        <v>49.744161962889379</v>
      </c>
      <c r="N165" s="160">
        <f t="shared" si="49"/>
        <v>-593.39583803710821</v>
      </c>
      <c r="O165" s="108">
        <v>0</v>
      </c>
      <c r="P165" s="108">
        <v>0</v>
      </c>
      <c r="Q165" s="108">
        <v>0</v>
      </c>
      <c r="R165" s="160">
        <f t="shared" si="50"/>
        <v>-593.39583803710821</v>
      </c>
    </row>
    <row r="166" spans="1:18" x14ac:dyDescent="0.2">
      <c r="A166" s="89">
        <v>3</v>
      </c>
      <c r="B166" s="154">
        <f t="shared" si="45"/>
        <v>45717</v>
      </c>
      <c r="C166" s="171">
        <f t="shared" si="51"/>
        <v>45750</v>
      </c>
      <c r="D166" s="171">
        <f t="shared" si="51"/>
        <v>45771</v>
      </c>
      <c r="E166" s="179" t="s">
        <v>55</v>
      </c>
      <c r="F166" s="89">
        <v>9</v>
      </c>
      <c r="G166" s="156">
        <v>8</v>
      </c>
      <c r="H166" s="157">
        <f t="shared" si="46"/>
        <v>1110.3699999999999</v>
      </c>
      <c r="I166" s="157">
        <f t="shared" si="44"/>
        <v>1038.9100000000001</v>
      </c>
      <c r="J166" s="108">
        <f t="shared" si="47"/>
        <v>8311.2800000000007</v>
      </c>
      <c r="K166" s="158">
        <f t="shared" si="41"/>
        <v>8882.9599999999991</v>
      </c>
      <c r="L166" s="159">
        <f>+J166-K166</f>
        <v>-571.67999999999847</v>
      </c>
      <c r="M166" s="108">
        <f t="shared" si="48"/>
        <v>44.217032855901664</v>
      </c>
      <c r="N166" s="160">
        <f t="shared" si="49"/>
        <v>-527.46296714409687</v>
      </c>
      <c r="O166" s="108">
        <v>0</v>
      </c>
      <c r="P166" s="108">
        <v>0</v>
      </c>
      <c r="Q166" s="108">
        <v>0</v>
      </c>
      <c r="R166" s="160">
        <f t="shared" si="50"/>
        <v>-527.46296714409687</v>
      </c>
    </row>
    <row r="167" spans="1:18" x14ac:dyDescent="0.2">
      <c r="A167" s="89">
        <v>4</v>
      </c>
      <c r="B167" s="154">
        <f t="shared" si="45"/>
        <v>45748</v>
      </c>
      <c r="C167" s="171">
        <f t="shared" si="51"/>
        <v>45782</v>
      </c>
      <c r="D167" s="171">
        <f t="shared" si="51"/>
        <v>45803</v>
      </c>
      <c r="E167" s="179" t="s">
        <v>55</v>
      </c>
      <c r="F167" s="89">
        <v>9</v>
      </c>
      <c r="G167" s="156">
        <v>10</v>
      </c>
      <c r="H167" s="157">
        <f t="shared" si="46"/>
        <v>1110.3699999999999</v>
      </c>
      <c r="I167" s="157">
        <f t="shared" si="44"/>
        <v>1038.9100000000001</v>
      </c>
      <c r="J167" s="108">
        <f t="shared" si="47"/>
        <v>10389.1</v>
      </c>
      <c r="K167" s="158">
        <f t="shared" si="41"/>
        <v>11103.699999999999</v>
      </c>
      <c r="L167" s="159">
        <f t="shared" ref="L167:L177" si="53">+J167-K167</f>
        <v>-714.59999999999854</v>
      </c>
      <c r="M167" s="108">
        <f t="shared" si="48"/>
        <v>55.271291069877087</v>
      </c>
      <c r="N167" s="160">
        <f t="shared" si="49"/>
        <v>-659.32870893012148</v>
      </c>
      <c r="O167" s="108">
        <v>0</v>
      </c>
      <c r="P167" s="108">
        <v>0</v>
      </c>
      <c r="Q167" s="108">
        <v>0</v>
      </c>
      <c r="R167" s="160">
        <f t="shared" si="50"/>
        <v>-659.32870893012148</v>
      </c>
    </row>
    <row r="168" spans="1:18" x14ac:dyDescent="0.2">
      <c r="A168" s="89">
        <v>5</v>
      </c>
      <c r="B168" s="154">
        <f t="shared" si="45"/>
        <v>45778</v>
      </c>
      <c r="C168" s="171">
        <f t="shared" si="51"/>
        <v>45812</v>
      </c>
      <c r="D168" s="171">
        <f t="shared" si="51"/>
        <v>45832</v>
      </c>
      <c r="E168" s="179" t="s">
        <v>55</v>
      </c>
      <c r="F168" s="89">
        <v>9</v>
      </c>
      <c r="G168" s="156">
        <v>11</v>
      </c>
      <c r="H168" s="157">
        <f t="shared" si="46"/>
        <v>1110.3699999999999</v>
      </c>
      <c r="I168" s="157">
        <f t="shared" si="44"/>
        <v>1038.9100000000001</v>
      </c>
      <c r="J168" s="108">
        <f t="shared" si="47"/>
        <v>11428.01</v>
      </c>
      <c r="K168" s="158">
        <f t="shared" si="41"/>
        <v>12214.07</v>
      </c>
      <c r="L168" s="159">
        <f t="shared" si="53"/>
        <v>-786.05999999999949</v>
      </c>
      <c r="M168" s="108">
        <f t="shared" si="48"/>
        <v>60.798420176864802</v>
      </c>
      <c r="N168" s="160">
        <f t="shared" si="49"/>
        <v>-725.26157982313464</v>
      </c>
      <c r="O168" s="108">
        <v>0</v>
      </c>
      <c r="P168" s="108">
        <v>0</v>
      </c>
      <c r="Q168" s="108">
        <v>0</v>
      </c>
      <c r="R168" s="160">
        <f t="shared" si="50"/>
        <v>-725.26157982313464</v>
      </c>
    </row>
    <row r="169" spans="1:18" x14ac:dyDescent="0.2">
      <c r="A169" s="89">
        <v>6</v>
      </c>
      <c r="B169" s="154">
        <f t="shared" si="45"/>
        <v>45809</v>
      </c>
      <c r="C169" s="171">
        <f t="shared" si="51"/>
        <v>45841</v>
      </c>
      <c r="D169" s="171">
        <f t="shared" si="51"/>
        <v>45862</v>
      </c>
      <c r="E169" s="179" t="s">
        <v>55</v>
      </c>
      <c r="F169" s="89">
        <v>9</v>
      </c>
      <c r="G169" s="156">
        <v>11</v>
      </c>
      <c r="H169" s="157">
        <f t="shared" si="46"/>
        <v>1110.3699999999999</v>
      </c>
      <c r="I169" s="157">
        <f t="shared" si="44"/>
        <v>1038.9100000000001</v>
      </c>
      <c r="J169" s="108">
        <f t="shared" si="47"/>
        <v>11428.01</v>
      </c>
      <c r="K169" s="158">
        <f t="shared" si="41"/>
        <v>12214.07</v>
      </c>
      <c r="L169" s="159">
        <f t="shared" si="53"/>
        <v>-786.05999999999949</v>
      </c>
      <c r="M169" s="108">
        <f t="shared" si="48"/>
        <v>60.798420176864802</v>
      </c>
      <c r="N169" s="160">
        <f t="shared" si="49"/>
        <v>-725.26157982313464</v>
      </c>
      <c r="O169" s="108">
        <v>0</v>
      </c>
      <c r="P169" s="108">
        <v>0</v>
      </c>
      <c r="Q169" s="108">
        <v>0</v>
      </c>
      <c r="R169" s="160">
        <f t="shared" si="50"/>
        <v>-725.26157982313464</v>
      </c>
    </row>
    <row r="170" spans="1:18" x14ac:dyDescent="0.2">
      <c r="A170" s="89">
        <v>7</v>
      </c>
      <c r="B170" s="154">
        <f t="shared" si="45"/>
        <v>45839</v>
      </c>
      <c r="C170" s="171">
        <f t="shared" si="51"/>
        <v>45874</v>
      </c>
      <c r="D170" s="171">
        <f t="shared" si="51"/>
        <v>45894</v>
      </c>
      <c r="E170" s="179" t="s">
        <v>55</v>
      </c>
      <c r="F170" s="89">
        <v>9</v>
      </c>
      <c r="G170" s="156">
        <v>14</v>
      </c>
      <c r="H170" s="157">
        <f t="shared" si="46"/>
        <v>1110.3699999999999</v>
      </c>
      <c r="I170" s="157">
        <f t="shared" si="44"/>
        <v>1038.9100000000001</v>
      </c>
      <c r="J170" s="108">
        <f t="shared" si="47"/>
        <v>14544.740000000002</v>
      </c>
      <c r="K170" s="158">
        <f t="shared" si="41"/>
        <v>15545.179999999998</v>
      </c>
      <c r="L170" s="159">
        <f t="shared" si="53"/>
        <v>-1000.4399999999969</v>
      </c>
      <c r="M170" s="108">
        <f t="shared" si="48"/>
        <v>77.379807497827912</v>
      </c>
      <c r="N170" s="160">
        <f t="shared" si="49"/>
        <v>-923.060192502169</v>
      </c>
      <c r="O170" s="108">
        <v>0</v>
      </c>
      <c r="P170" s="108">
        <v>0</v>
      </c>
      <c r="Q170" s="108">
        <v>0</v>
      </c>
      <c r="R170" s="160">
        <f t="shared" si="50"/>
        <v>-923.060192502169</v>
      </c>
    </row>
    <row r="171" spans="1:18" x14ac:dyDescent="0.2">
      <c r="A171" s="89">
        <v>8</v>
      </c>
      <c r="B171" s="154">
        <f t="shared" si="45"/>
        <v>45870</v>
      </c>
      <c r="C171" s="171">
        <f t="shared" si="51"/>
        <v>45904</v>
      </c>
      <c r="D171" s="171">
        <f t="shared" si="51"/>
        <v>45924</v>
      </c>
      <c r="E171" s="179" t="s">
        <v>55</v>
      </c>
      <c r="F171" s="89">
        <v>9</v>
      </c>
      <c r="G171" s="156">
        <v>11</v>
      </c>
      <c r="H171" s="157">
        <f t="shared" si="46"/>
        <v>1110.3699999999999</v>
      </c>
      <c r="I171" s="157">
        <f t="shared" si="44"/>
        <v>1038.9100000000001</v>
      </c>
      <c r="J171" s="108">
        <f t="shared" si="47"/>
        <v>11428.01</v>
      </c>
      <c r="K171" s="158">
        <f t="shared" si="41"/>
        <v>12214.07</v>
      </c>
      <c r="L171" s="159">
        <f t="shared" si="53"/>
        <v>-786.05999999999949</v>
      </c>
      <c r="M171" s="108">
        <f t="shared" si="48"/>
        <v>60.798420176864802</v>
      </c>
      <c r="N171" s="160">
        <f t="shared" si="49"/>
        <v>-725.26157982313464</v>
      </c>
      <c r="O171" s="108">
        <v>0</v>
      </c>
      <c r="P171" s="108">
        <v>0</v>
      </c>
      <c r="Q171" s="108">
        <v>0</v>
      </c>
      <c r="R171" s="160">
        <f t="shared" si="50"/>
        <v>-725.26157982313464</v>
      </c>
    </row>
    <row r="172" spans="1:18" x14ac:dyDescent="0.2">
      <c r="A172" s="89">
        <v>9</v>
      </c>
      <c r="B172" s="154">
        <f t="shared" si="45"/>
        <v>45901</v>
      </c>
      <c r="C172" s="171">
        <f t="shared" ref="C172:D175" si="54">+C160</f>
        <v>45933</v>
      </c>
      <c r="D172" s="171">
        <f t="shared" si="54"/>
        <v>45954</v>
      </c>
      <c r="E172" s="179" t="s">
        <v>55</v>
      </c>
      <c r="F172" s="89">
        <v>9</v>
      </c>
      <c r="G172" s="156">
        <v>12</v>
      </c>
      <c r="H172" s="157">
        <f t="shared" si="46"/>
        <v>1110.3699999999999</v>
      </c>
      <c r="I172" s="157">
        <f t="shared" si="44"/>
        <v>1038.9100000000001</v>
      </c>
      <c r="J172" s="108">
        <f t="shared" si="47"/>
        <v>12466.920000000002</v>
      </c>
      <c r="K172" s="158">
        <f t="shared" si="41"/>
        <v>13324.439999999999</v>
      </c>
      <c r="L172" s="159">
        <f t="shared" si="53"/>
        <v>-857.5199999999968</v>
      </c>
      <c r="M172" s="108">
        <f t="shared" si="48"/>
        <v>66.32554928385251</v>
      </c>
      <c r="N172" s="160">
        <f t="shared" si="49"/>
        <v>-791.19445071614427</v>
      </c>
      <c r="O172" s="108">
        <v>0</v>
      </c>
      <c r="P172" s="108">
        <v>0</v>
      </c>
      <c r="Q172" s="108">
        <v>0</v>
      </c>
      <c r="R172" s="160">
        <f t="shared" si="50"/>
        <v>-791.19445071614427</v>
      </c>
    </row>
    <row r="173" spans="1:18" x14ac:dyDescent="0.2">
      <c r="A173" s="89">
        <v>10</v>
      </c>
      <c r="B173" s="154">
        <f t="shared" si="45"/>
        <v>45931</v>
      </c>
      <c r="C173" s="171">
        <f t="shared" si="54"/>
        <v>45966</v>
      </c>
      <c r="D173" s="171">
        <f t="shared" si="54"/>
        <v>45985</v>
      </c>
      <c r="E173" s="179" t="s">
        <v>55</v>
      </c>
      <c r="F173" s="89">
        <v>9</v>
      </c>
      <c r="G173" s="156">
        <v>13</v>
      </c>
      <c r="H173" s="157">
        <f t="shared" si="46"/>
        <v>1110.3699999999999</v>
      </c>
      <c r="I173" s="157">
        <f t="shared" si="44"/>
        <v>1038.9100000000001</v>
      </c>
      <c r="J173" s="108">
        <f t="shared" si="47"/>
        <v>13505.830000000002</v>
      </c>
      <c r="K173" s="158">
        <f t="shared" si="41"/>
        <v>14434.809999999998</v>
      </c>
      <c r="L173" s="159">
        <f t="shared" si="53"/>
        <v>-928.97999999999593</v>
      </c>
      <c r="M173" s="108">
        <f t="shared" si="48"/>
        <v>71.852678390840211</v>
      </c>
      <c r="N173" s="160">
        <f t="shared" si="49"/>
        <v>-857.12732160915573</v>
      </c>
      <c r="O173" s="108">
        <v>0</v>
      </c>
      <c r="P173" s="108">
        <v>0</v>
      </c>
      <c r="Q173" s="108">
        <v>0</v>
      </c>
      <c r="R173" s="160">
        <f t="shared" si="50"/>
        <v>-857.12732160915573</v>
      </c>
    </row>
    <row r="174" spans="1:18" x14ac:dyDescent="0.2">
      <c r="A174" s="89">
        <v>11</v>
      </c>
      <c r="B174" s="154">
        <f t="shared" si="45"/>
        <v>45962</v>
      </c>
      <c r="C174" s="171">
        <f t="shared" si="54"/>
        <v>45994</v>
      </c>
      <c r="D174" s="171">
        <f t="shared" si="54"/>
        <v>46015</v>
      </c>
      <c r="E174" s="179" t="s">
        <v>55</v>
      </c>
      <c r="F174" s="89">
        <v>9</v>
      </c>
      <c r="G174" s="156">
        <v>10</v>
      </c>
      <c r="H174" s="157">
        <f t="shared" si="46"/>
        <v>1110.3699999999999</v>
      </c>
      <c r="I174" s="157">
        <f t="shared" si="44"/>
        <v>1038.9100000000001</v>
      </c>
      <c r="J174" s="108">
        <f t="shared" si="47"/>
        <v>10389.1</v>
      </c>
      <c r="K174" s="158">
        <f t="shared" si="41"/>
        <v>11103.699999999999</v>
      </c>
      <c r="L174" s="159">
        <f t="shared" si="53"/>
        <v>-714.59999999999854</v>
      </c>
      <c r="M174" s="108">
        <f t="shared" si="48"/>
        <v>55.271291069877087</v>
      </c>
      <c r="N174" s="160">
        <f t="shared" si="49"/>
        <v>-659.32870893012148</v>
      </c>
      <c r="O174" s="108">
        <v>0</v>
      </c>
      <c r="P174" s="108">
        <v>0</v>
      </c>
      <c r="Q174" s="108">
        <v>0</v>
      </c>
      <c r="R174" s="160">
        <f t="shared" si="50"/>
        <v>-659.32870893012148</v>
      </c>
    </row>
    <row r="175" spans="1:18" s="175" customFormat="1" x14ac:dyDescent="0.2">
      <c r="A175" s="89">
        <v>12</v>
      </c>
      <c r="B175" s="173">
        <f t="shared" si="45"/>
        <v>45992</v>
      </c>
      <c r="C175" s="171">
        <f t="shared" si="54"/>
        <v>46028</v>
      </c>
      <c r="D175" s="171">
        <f t="shared" si="54"/>
        <v>46048</v>
      </c>
      <c r="E175" s="180" t="s">
        <v>55</v>
      </c>
      <c r="F175" s="131">
        <v>9</v>
      </c>
      <c r="G175" s="162">
        <v>7</v>
      </c>
      <c r="H175" s="163">
        <f t="shared" si="46"/>
        <v>1110.3699999999999</v>
      </c>
      <c r="I175" s="163">
        <f t="shared" si="44"/>
        <v>1038.9100000000001</v>
      </c>
      <c r="J175" s="164">
        <f t="shared" si="47"/>
        <v>7272.3700000000008</v>
      </c>
      <c r="K175" s="165">
        <f t="shared" si="41"/>
        <v>7772.5899999999992</v>
      </c>
      <c r="L175" s="166">
        <f t="shared" si="53"/>
        <v>-500.21999999999844</v>
      </c>
      <c r="M175" s="164">
        <f t="shared" si="48"/>
        <v>38.689903748913956</v>
      </c>
      <c r="N175" s="185">
        <f t="shared" si="49"/>
        <v>-461.5300962510845</v>
      </c>
      <c r="O175" s="164">
        <v>0</v>
      </c>
      <c r="P175" s="164">
        <v>0</v>
      </c>
      <c r="Q175" s="164">
        <v>0</v>
      </c>
      <c r="R175" s="185">
        <f t="shared" si="50"/>
        <v>-461.5300962510845</v>
      </c>
    </row>
    <row r="176" spans="1:18" x14ac:dyDescent="0.2">
      <c r="A176" s="89">
        <v>1</v>
      </c>
      <c r="B176" s="154">
        <f t="shared" si="45"/>
        <v>45658</v>
      </c>
      <c r="C176" s="168">
        <f t="shared" ref="C176:D187" si="55">+C152</f>
        <v>45693</v>
      </c>
      <c r="D176" s="168">
        <f t="shared" si="55"/>
        <v>45712</v>
      </c>
      <c r="E176" s="178" t="s">
        <v>56</v>
      </c>
      <c r="F176" s="89">
        <v>9</v>
      </c>
      <c r="G176" s="156">
        <v>0</v>
      </c>
      <c r="H176" s="157">
        <f t="shared" si="46"/>
        <v>1110.3699999999999</v>
      </c>
      <c r="I176" s="157">
        <f t="shared" si="44"/>
        <v>1038.9100000000001</v>
      </c>
      <c r="J176" s="108">
        <f t="shared" si="47"/>
        <v>0</v>
      </c>
      <c r="K176" s="158">
        <f t="shared" si="41"/>
        <v>0</v>
      </c>
      <c r="L176" s="159">
        <f t="shared" si="53"/>
        <v>0</v>
      </c>
      <c r="M176" s="108">
        <f t="shared" si="48"/>
        <v>0</v>
      </c>
      <c r="N176" s="160">
        <f t="shared" si="49"/>
        <v>0</v>
      </c>
      <c r="O176" s="108">
        <v>0</v>
      </c>
      <c r="P176" s="108">
        <v>0</v>
      </c>
      <c r="Q176" s="108">
        <v>0</v>
      </c>
      <c r="R176" s="160">
        <f t="shared" si="50"/>
        <v>0</v>
      </c>
    </row>
    <row r="177" spans="1:18" x14ac:dyDescent="0.2">
      <c r="A177" s="89">
        <v>2</v>
      </c>
      <c r="B177" s="154">
        <f t="shared" si="45"/>
        <v>45689</v>
      </c>
      <c r="C177" s="171">
        <f t="shared" si="55"/>
        <v>45721</v>
      </c>
      <c r="D177" s="171">
        <f t="shared" si="55"/>
        <v>45740</v>
      </c>
      <c r="E177" s="1" t="s">
        <v>56</v>
      </c>
      <c r="F177" s="89">
        <v>9</v>
      </c>
      <c r="G177" s="156">
        <v>0</v>
      </c>
      <c r="H177" s="157">
        <f t="shared" si="46"/>
        <v>1110.3699999999999</v>
      </c>
      <c r="I177" s="157">
        <f t="shared" si="44"/>
        <v>1038.9100000000001</v>
      </c>
      <c r="J177" s="108">
        <f t="shared" si="47"/>
        <v>0</v>
      </c>
      <c r="K177" s="158">
        <f t="shared" si="41"/>
        <v>0</v>
      </c>
      <c r="L177" s="159">
        <f t="shared" si="53"/>
        <v>0</v>
      </c>
      <c r="M177" s="108">
        <f t="shared" si="48"/>
        <v>0</v>
      </c>
      <c r="N177" s="160">
        <f t="shared" si="49"/>
        <v>0</v>
      </c>
      <c r="O177" s="108">
        <v>0</v>
      </c>
      <c r="P177" s="108">
        <v>0</v>
      </c>
      <c r="Q177" s="108">
        <v>0</v>
      </c>
      <c r="R177" s="160">
        <f t="shared" si="50"/>
        <v>0</v>
      </c>
    </row>
    <row r="178" spans="1:18" x14ac:dyDescent="0.2">
      <c r="A178" s="89">
        <v>3</v>
      </c>
      <c r="B178" s="154">
        <f t="shared" si="45"/>
        <v>45717</v>
      </c>
      <c r="C178" s="171">
        <f t="shared" si="55"/>
        <v>45750</v>
      </c>
      <c r="D178" s="171">
        <f t="shared" si="55"/>
        <v>45771</v>
      </c>
      <c r="E178" s="1" t="s">
        <v>56</v>
      </c>
      <c r="F178" s="89">
        <v>9</v>
      </c>
      <c r="G178" s="156">
        <v>0</v>
      </c>
      <c r="H178" s="157">
        <f t="shared" si="46"/>
        <v>1110.3699999999999</v>
      </c>
      <c r="I178" s="157">
        <f t="shared" si="44"/>
        <v>1038.9100000000001</v>
      </c>
      <c r="J178" s="108">
        <f t="shared" si="47"/>
        <v>0</v>
      </c>
      <c r="K178" s="158">
        <f t="shared" si="41"/>
        <v>0</v>
      </c>
      <c r="L178" s="159">
        <f>+J178-K178</f>
        <v>0</v>
      </c>
      <c r="M178" s="108">
        <f t="shared" si="48"/>
        <v>0</v>
      </c>
      <c r="N178" s="160">
        <f t="shared" si="49"/>
        <v>0</v>
      </c>
      <c r="O178" s="108">
        <v>0</v>
      </c>
      <c r="P178" s="108">
        <v>0</v>
      </c>
      <c r="Q178" s="108">
        <v>0</v>
      </c>
      <c r="R178" s="160">
        <f t="shared" si="50"/>
        <v>0</v>
      </c>
    </row>
    <row r="179" spans="1:18" x14ac:dyDescent="0.2">
      <c r="A179" s="89">
        <v>4</v>
      </c>
      <c r="B179" s="154">
        <f t="shared" si="45"/>
        <v>45748</v>
      </c>
      <c r="C179" s="171">
        <f t="shared" si="55"/>
        <v>45782</v>
      </c>
      <c r="D179" s="171">
        <f t="shared" si="55"/>
        <v>45803</v>
      </c>
      <c r="E179" s="1" t="s">
        <v>56</v>
      </c>
      <c r="F179" s="89">
        <v>9</v>
      </c>
      <c r="G179" s="156">
        <v>0</v>
      </c>
      <c r="H179" s="157">
        <f t="shared" si="46"/>
        <v>1110.3699999999999</v>
      </c>
      <c r="I179" s="157">
        <f t="shared" si="44"/>
        <v>1038.9100000000001</v>
      </c>
      <c r="J179" s="108">
        <f t="shared" si="47"/>
        <v>0</v>
      </c>
      <c r="K179" s="158">
        <f t="shared" si="41"/>
        <v>0</v>
      </c>
      <c r="L179" s="159">
        <f t="shared" ref="L179:L189" si="56">+J179-K179</f>
        <v>0</v>
      </c>
      <c r="M179" s="108">
        <f t="shared" si="48"/>
        <v>0</v>
      </c>
      <c r="N179" s="160">
        <f t="shared" si="49"/>
        <v>0</v>
      </c>
      <c r="O179" s="108">
        <v>0</v>
      </c>
      <c r="P179" s="108">
        <v>0</v>
      </c>
      <c r="Q179" s="108">
        <v>0</v>
      </c>
      <c r="R179" s="160">
        <f t="shared" si="50"/>
        <v>0</v>
      </c>
    </row>
    <row r="180" spans="1:18" x14ac:dyDescent="0.2">
      <c r="A180" s="89">
        <v>5</v>
      </c>
      <c r="B180" s="154">
        <f t="shared" si="45"/>
        <v>45778</v>
      </c>
      <c r="C180" s="171">
        <f t="shared" si="55"/>
        <v>45812</v>
      </c>
      <c r="D180" s="171">
        <f t="shared" si="55"/>
        <v>45832</v>
      </c>
      <c r="E180" s="1" t="s">
        <v>56</v>
      </c>
      <c r="F180" s="89">
        <v>9</v>
      </c>
      <c r="G180" s="156">
        <v>0</v>
      </c>
      <c r="H180" s="157">
        <f t="shared" si="46"/>
        <v>1110.3699999999999</v>
      </c>
      <c r="I180" s="157">
        <f t="shared" ref="I180:I211" si="57">$J$3</f>
        <v>1038.9100000000001</v>
      </c>
      <c r="J180" s="108">
        <f t="shared" si="47"/>
        <v>0</v>
      </c>
      <c r="K180" s="158">
        <f t="shared" si="41"/>
        <v>0</v>
      </c>
      <c r="L180" s="159">
        <f t="shared" si="56"/>
        <v>0</v>
      </c>
      <c r="M180" s="108">
        <f t="shared" si="48"/>
        <v>0</v>
      </c>
      <c r="N180" s="160">
        <f t="shared" si="49"/>
        <v>0</v>
      </c>
      <c r="O180" s="108">
        <v>0</v>
      </c>
      <c r="P180" s="108">
        <v>0</v>
      </c>
      <c r="Q180" s="108">
        <v>0</v>
      </c>
      <c r="R180" s="160">
        <f t="shared" si="50"/>
        <v>0</v>
      </c>
    </row>
    <row r="181" spans="1:18" x14ac:dyDescent="0.2">
      <c r="A181" s="89">
        <v>6</v>
      </c>
      <c r="B181" s="154">
        <f t="shared" si="45"/>
        <v>45809</v>
      </c>
      <c r="C181" s="171">
        <f t="shared" si="55"/>
        <v>45841</v>
      </c>
      <c r="D181" s="171">
        <f t="shared" si="55"/>
        <v>45862</v>
      </c>
      <c r="E181" s="1" t="s">
        <v>56</v>
      </c>
      <c r="F181" s="89">
        <v>9</v>
      </c>
      <c r="G181" s="156">
        <v>0</v>
      </c>
      <c r="H181" s="157">
        <f t="shared" si="46"/>
        <v>1110.3699999999999</v>
      </c>
      <c r="I181" s="157">
        <f t="shared" si="57"/>
        <v>1038.9100000000001</v>
      </c>
      <c r="J181" s="108">
        <f t="shared" si="47"/>
        <v>0</v>
      </c>
      <c r="K181" s="158">
        <f t="shared" si="41"/>
        <v>0</v>
      </c>
      <c r="L181" s="159">
        <f t="shared" si="56"/>
        <v>0</v>
      </c>
      <c r="M181" s="108">
        <f t="shared" si="48"/>
        <v>0</v>
      </c>
      <c r="N181" s="160">
        <f t="shared" si="49"/>
        <v>0</v>
      </c>
      <c r="O181" s="108">
        <v>0</v>
      </c>
      <c r="P181" s="108">
        <v>0</v>
      </c>
      <c r="Q181" s="108">
        <v>0</v>
      </c>
      <c r="R181" s="160">
        <f t="shared" si="50"/>
        <v>0</v>
      </c>
    </row>
    <row r="182" spans="1:18" x14ac:dyDescent="0.2">
      <c r="A182" s="89">
        <v>7</v>
      </c>
      <c r="B182" s="154">
        <f t="shared" si="45"/>
        <v>45839</v>
      </c>
      <c r="C182" s="171">
        <f t="shared" si="55"/>
        <v>45874</v>
      </c>
      <c r="D182" s="171">
        <f t="shared" si="55"/>
        <v>45894</v>
      </c>
      <c r="E182" s="1" t="s">
        <v>56</v>
      </c>
      <c r="F182" s="89">
        <v>9</v>
      </c>
      <c r="G182" s="156">
        <v>0</v>
      </c>
      <c r="H182" s="157">
        <f t="shared" si="46"/>
        <v>1110.3699999999999</v>
      </c>
      <c r="I182" s="157">
        <f t="shared" si="57"/>
        <v>1038.9100000000001</v>
      </c>
      <c r="J182" s="108">
        <f t="shared" si="47"/>
        <v>0</v>
      </c>
      <c r="K182" s="158">
        <f t="shared" si="41"/>
        <v>0</v>
      </c>
      <c r="L182" s="159">
        <f t="shared" si="56"/>
        <v>0</v>
      </c>
      <c r="M182" s="108">
        <f t="shared" si="48"/>
        <v>0</v>
      </c>
      <c r="N182" s="160">
        <f t="shared" si="49"/>
        <v>0</v>
      </c>
      <c r="O182" s="108">
        <v>0</v>
      </c>
      <c r="P182" s="108">
        <v>0</v>
      </c>
      <c r="Q182" s="108">
        <v>0</v>
      </c>
      <c r="R182" s="160">
        <f t="shared" si="50"/>
        <v>0</v>
      </c>
    </row>
    <row r="183" spans="1:18" x14ac:dyDescent="0.2">
      <c r="A183" s="89">
        <v>8</v>
      </c>
      <c r="B183" s="154">
        <f t="shared" si="45"/>
        <v>45870</v>
      </c>
      <c r="C183" s="171">
        <f t="shared" si="55"/>
        <v>45904</v>
      </c>
      <c r="D183" s="171">
        <f t="shared" si="55"/>
        <v>45924</v>
      </c>
      <c r="E183" s="1" t="s">
        <v>56</v>
      </c>
      <c r="F183" s="89">
        <v>9</v>
      </c>
      <c r="G183" s="156">
        <v>0</v>
      </c>
      <c r="H183" s="157">
        <f t="shared" si="46"/>
        <v>1110.3699999999999</v>
      </c>
      <c r="I183" s="157">
        <f t="shared" si="57"/>
        <v>1038.9100000000001</v>
      </c>
      <c r="J183" s="108">
        <f t="shared" si="47"/>
        <v>0</v>
      </c>
      <c r="K183" s="158">
        <f t="shared" si="41"/>
        <v>0</v>
      </c>
      <c r="L183" s="159">
        <f t="shared" si="56"/>
        <v>0</v>
      </c>
      <c r="M183" s="108">
        <f t="shared" si="48"/>
        <v>0</v>
      </c>
      <c r="N183" s="160">
        <f t="shared" si="49"/>
        <v>0</v>
      </c>
      <c r="O183" s="108">
        <v>0</v>
      </c>
      <c r="P183" s="108">
        <v>0</v>
      </c>
      <c r="Q183" s="108">
        <v>0</v>
      </c>
      <c r="R183" s="160">
        <f t="shared" si="50"/>
        <v>0</v>
      </c>
    </row>
    <row r="184" spans="1:18" x14ac:dyDescent="0.2">
      <c r="A184" s="89">
        <v>9</v>
      </c>
      <c r="B184" s="154">
        <f t="shared" si="45"/>
        <v>45901</v>
      </c>
      <c r="C184" s="171">
        <f t="shared" si="55"/>
        <v>45933</v>
      </c>
      <c r="D184" s="171">
        <f t="shared" si="55"/>
        <v>45954</v>
      </c>
      <c r="E184" s="1" t="s">
        <v>56</v>
      </c>
      <c r="F184" s="89">
        <v>9</v>
      </c>
      <c r="G184" s="156">
        <v>0</v>
      </c>
      <c r="H184" s="157">
        <f t="shared" si="46"/>
        <v>1110.3699999999999</v>
      </c>
      <c r="I184" s="157">
        <f t="shared" si="57"/>
        <v>1038.9100000000001</v>
      </c>
      <c r="J184" s="108">
        <f t="shared" si="47"/>
        <v>0</v>
      </c>
      <c r="K184" s="158">
        <f t="shared" si="41"/>
        <v>0</v>
      </c>
      <c r="L184" s="159">
        <f t="shared" si="56"/>
        <v>0</v>
      </c>
      <c r="M184" s="108">
        <f t="shared" si="48"/>
        <v>0</v>
      </c>
      <c r="N184" s="160">
        <f t="shared" si="49"/>
        <v>0</v>
      </c>
      <c r="O184" s="108">
        <v>0</v>
      </c>
      <c r="P184" s="108">
        <v>0</v>
      </c>
      <c r="Q184" s="108">
        <v>0</v>
      </c>
      <c r="R184" s="160">
        <f t="shared" si="50"/>
        <v>0</v>
      </c>
    </row>
    <row r="185" spans="1:18" x14ac:dyDescent="0.2">
      <c r="A185" s="89">
        <v>10</v>
      </c>
      <c r="B185" s="154">
        <f t="shared" si="45"/>
        <v>45931</v>
      </c>
      <c r="C185" s="171">
        <f t="shared" si="55"/>
        <v>45966</v>
      </c>
      <c r="D185" s="171">
        <f t="shared" si="55"/>
        <v>45985</v>
      </c>
      <c r="E185" s="1" t="s">
        <v>56</v>
      </c>
      <c r="F185" s="89">
        <v>9</v>
      </c>
      <c r="G185" s="156">
        <v>0</v>
      </c>
      <c r="H185" s="157">
        <f t="shared" si="46"/>
        <v>1110.3699999999999</v>
      </c>
      <c r="I185" s="157">
        <f t="shared" si="57"/>
        <v>1038.9100000000001</v>
      </c>
      <c r="J185" s="108">
        <f t="shared" si="47"/>
        <v>0</v>
      </c>
      <c r="K185" s="158">
        <f t="shared" si="41"/>
        <v>0</v>
      </c>
      <c r="L185" s="159">
        <f t="shared" si="56"/>
        <v>0</v>
      </c>
      <c r="M185" s="108">
        <f t="shared" si="48"/>
        <v>0</v>
      </c>
      <c r="N185" s="160">
        <f t="shared" si="49"/>
        <v>0</v>
      </c>
      <c r="O185" s="108">
        <v>0</v>
      </c>
      <c r="P185" s="108">
        <v>0</v>
      </c>
      <c r="Q185" s="108">
        <v>0</v>
      </c>
      <c r="R185" s="160">
        <f t="shared" si="50"/>
        <v>0</v>
      </c>
    </row>
    <row r="186" spans="1:18" x14ac:dyDescent="0.2">
      <c r="A186" s="89">
        <v>11</v>
      </c>
      <c r="B186" s="154">
        <f t="shared" si="45"/>
        <v>45962</v>
      </c>
      <c r="C186" s="171">
        <f t="shared" si="55"/>
        <v>45994</v>
      </c>
      <c r="D186" s="171">
        <f t="shared" si="55"/>
        <v>46015</v>
      </c>
      <c r="E186" s="1" t="s">
        <v>56</v>
      </c>
      <c r="F186" s="89">
        <v>9</v>
      </c>
      <c r="G186" s="156">
        <v>0</v>
      </c>
      <c r="H186" s="157">
        <f t="shared" si="46"/>
        <v>1110.3699999999999</v>
      </c>
      <c r="I186" s="157">
        <f t="shared" si="57"/>
        <v>1038.9100000000001</v>
      </c>
      <c r="J186" s="108">
        <f t="shared" si="47"/>
        <v>0</v>
      </c>
      <c r="K186" s="158">
        <f t="shared" si="41"/>
        <v>0</v>
      </c>
      <c r="L186" s="159">
        <f t="shared" si="56"/>
        <v>0</v>
      </c>
      <c r="M186" s="108">
        <f t="shared" si="48"/>
        <v>0</v>
      </c>
      <c r="N186" s="160">
        <f t="shared" si="49"/>
        <v>0</v>
      </c>
      <c r="O186" s="108">
        <v>0</v>
      </c>
      <c r="P186" s="108">
        <v>0</v>
      </c>
      <c r="Q186" s="108">
        <v>0</v>
      </c>
      <c r="R186" s="160">
        <f t="shared" si="50"/>
        <v>0</v>
      </c>
    </row>
    <row r="187" spans="1:18" s="175" customFormat="1" x14ac:dyDescent="0.2">
      <c r="A187" s="89">
        <v>12</v>
      </c>
      <c r="B187" s="173">
        <f t="shared" si="45"/>
        <v>45992</v>
      </c>
      <c r="C187" s="176">
        <f t="shared" si="55"/>
        <v>46028</v>
      </c>
      <c r="D187" s="176">
        <f t="shared" si="55"/>
        <v>46048</v>
      </c>
      <c r="E187" s="174" t="s">
        <v>56</v>
      </c>
      <c r="F187" s="131">
        <v>9</v>
      </c>
      <c r="G187" s="162">
        <v>0</v>
      </c>
      <c r="H187" s="163">
        <f t="shared" si="46"/>
        <v>1110.3699999999999</v>
      </c>
      <c r="I187" s="163">
        <f t="shared" si="57"/>
        <v>1038.9100000000001</v>
      </c>
      <c r="J187" s="164">
        <f t="shared" si="47"/>
        <v>0</v>
      </c>
      <c r="K187" s="165">
        <f t="shared" si="41"/>
        <v>0</v>
      </c>
      <c r="L187" s="166">
        <f t="shared" si="56"/>
        <v>0</v>
      </c>
      <c r="M187" s="164">
        <f t="shared" si="48"/>
        <v>0</v>
      </c>
      <c r="N187" s="185">
        <f t="shared" si="49"/>
        <v>0</v>
      </c>
      <c r="O187" s="164">
        <v>0</v>
      </c>
      <c r="P187" s="164">
        <v>0</v>
      </c>
      <c r="Q187" s="164">
        <v>0</v>
      </c>
      <c r="R187" s="185">
        <f t="shared" si="50"/>
        <v>0</v>
      </c>
    </row>
    <row r="188" spans="1:18" x14ac:dyDescent="0.2">
      <c r="A188" s="89">
        <v>1</v>
      </c>
      <c r="B188" s="154">
        <f t="shared" si="45"/>
        <v>45658</v>
      </c>
      <c r="C188" s="171">
        <f t="shared" ref="C188:D211" si="58">+C176</f>
        <v>45693</v>
      </c>
      <c r="D188" s="171">
        <f t="shared" si="58"/>
        <v>45712</v>
      </c>
      <c r="E188" s="155" t="s">
        <v>57</v>
      </c>
      <c r="F188" s="89">
        <v>9</v>
      </c>
      <c r="G188" s="156">
        <v>37</v>
      </c>
      <c r="H188" s="157">
        <f t="shared" si="46"/>
        <v>1110.3699999999999</v>
      </c>
      <c r="I188" s="157">
        <f t="shared" si="57"/>
        <v>1038.9100000000001</v>
      </c>
      <c r="J188" s="108">
        <f t="shared" si="47"/>
        <v>38439.670000000006</v>
      </c>
      <c r="K188" s="158">
        <f t="shared" si="41"/>
        <v>41083.689999999995</v>
      </c>
      <c r="L188" s="159">
        <f t="shared" si="56"/>
        <v>-2644.0199999999895</v>
      </c>
      <c r="M188" s="108">
        <f t="shared" si="48"/>
        <v>204.50377695854522</v>
      </c>
      <c r="N188" s="160">
        <f t="shared" si="49"/>
        <v>-2439.5162230414444</v>
      </c>
      <c r="O188" s="108">
        <v>0</v>
      </c>
      <c r="P188" s="108">
        <v>0</v>
      </c>
      <c r="Q188" s="108">
        <v>0</v>
      </c>
      <c r="R188" s="160">
        <f t="shared" si="50"/>
        <v>-2439.5162230414444</v>
      </c>
    </row>
    <row r="189" spans="1:18" x14ac:dyDescent="0.2">
      <c r="A189" s="89">
        <v>2</v>
      </c>
      <c r="B189" s="154">
        <f t="shared" si="45"/>
        <v>45689</v>
      </c>
      <c r="C189" s="171">
        <f t="shared" si="58"/>
        <v>45721</v>
      </c>
      <c r="D189" s="171">
        <f t="shared" si="58"/>
        <v>45740</v>
      </c>
      <c r="E189" s="161" t="s">
        <v>57</v>
      </c>
      <c r="F189" s="89">
        <v>9</v>
      </c>
      <c r="G189" s="156">
        <v>42</v>
      </c>
      <c r="H189" s="157">
        <f t="shared" si="46"/>
        <v>1110.3699999999999</v>
      </c>
      <c r="I189" s="157">
        <f t="shared" si="57"/>
        <v>1038.9100000000001</v>
      </c>
      <c r="J189" s="108">
        <f t="shared" si="47"/>
        <v>43634.22</v>
      </c>
      <c r="K189" s="158">
        <f t="shared" si="41"/>
        <v>46635.539999999994</v>
      </c>
      <c r="L189" s="159">
        <f t="shared" si="56"/>
        <v>-3001.3199999999924</v>
      </c>
      <c r="M189" s="108">
        <f t="shared" si="48"/>
        <v>232.13942249348375</v>
      </c>
      <c r="N189" s="160">
        <f t="shared" si="49"/>
        <v>-2769.1805775065086</v>
      </c>
      <c r="O189" s="108">
        <v>0</v>
      </c>
      <c r="P189" s="108">
        <v>0</v>
      </c>
      <c r="Q189" s="108">
        <v>0</v>
      </c>
      <c r="R189" s="160">
        <f t="shared" si="50"/>
        <v>-2769.1805775065086</v>
      </c>
    </row>
    <row r="190" spans="1:18" x14ac:dyDescent="0.2">
      <c r="A190" s="89">
        <v>3</v>
      </c>
      <c r="B190" s="154">
        <f t="shared" si="45"/>
        <v>45717</v>
      </c>
      <c r="C190" s="171">
        <f t="shared" si="58"/>
        <v>45750</v>
      </c>
      <c r="D190" s="171">
        <f t="shared" si="58"/>
        <v>45771</v>
      </c>
      <c r="E190" s="161" t="s">
        <v>57</v>
      </c>
      <c r="F190" s="89">
        <v>9</v>
      </c>
      <c r="G190" s="156">
        <v>30</v>
      </c>
      <c r="H190" s="157">
        <f t="shared" si="46"/>
        <v>1110.3699999999999</v>
      </c>
      <c r="I190" s="157">
        <f t="shared" si="57"/>
        <v>1038.9100000000001</v>
      </c>
      <c r="J190" s="108">
        <f t="shared" si="47"/>
        <v>31167.300000000003</v>
      </c>
      <c r="K190" s="158">
        <f t="shared" si="41"/>
        <v>33311.1</v>
      </c>
      <c r="L190" s="159">
        <f>+J190-K190</f>
        <v>-2143.7999999999956</v>
      </c>
      <c r="M190" s="108">
        <f t="shared" si="48"/>
        <v>165.81387320963125</v>
      </c>
      <c r="N190" s="160">
        <f t="shared" si="49"/>
        <v>-1977.9861267903643</v>
      </c>
      <c r="O190" s="108">
        <v>0</v>
      </c>
      <c r="P190" s="108">
        <v>0</v>
      </c>
      <c r="Q190" s="108">
        <v>0</v>
      </c>
      <c r="R190" s="160">
        <f t="shared" si="50"/>
        <v>-1977.9861267903643</v>
      </c>
    </row>
    <row r="191" spans="1:18" x14ac:dyDescent="0.2">
      <c r="A191" s="89">
        <v>4</v>
      </c>
      <c r="B191" s="154">
        <f t="shared" si="45"/>
        <v>45748</v>
      </c>
      <c r="C191" s="171">
        <f t="shared" si="58"/>
        <v>45782</v>
      </c>
      <c r="D191" s="171">
        <f t="shared" si="58"/>
        <v>45803</v>
      </c>
      <c r="E191" s="1" t="s">
        <v>57</v>
      </c>
      <c r="F191" s="89">
        <v>9</v>
      </c>
      <c r="G191" s="156">
        <v>32</v>
      </c>
      <c r="H191" s="157">
        <f t="shared" si="46"/>
        <v>1110.3699999999999</v>
      </c>
      <c r="I191" s="157">
        <f t="shared" si="57"/>
        <v>1038.9100000000001</v>
      </c>
      <c r="J191" s="108">
        <f t="shared" si="47"/>
        <v>33245.120000000003</v>
      </c>
      <c r="K191" s="158">
        <f t="shared" si="41"/>
        <v>35531.839999999997</v>
      </c>
      <c r="L191" s="159">
        <f t="shared" ref="L191:L201" si="59">+J191-K191</f>
        <v>-2286.7199999999939</v>
      </c>
      <c r="M191" s="108">
        <f t="shared" si="48"/>
        <v>176.86813142360666</v>
      </c>
      <c r="N191" s="160">
        <f t="shared" si="49"/>
        <v>-2109.8518685763875</v>
      </c>
      <c r="O191" s="108">
        <v>0</v>
      </c>
      <c r="P191" s="108">
        <v>0</v>
      </c>
      <c r="Q191" s="108">
        <v>0</v>
      </c>
      <c r="R191" s="160">
        <f t="shared" si="50"/>
        <v>-2109.8518685763875</v>
      </c>
    </row>
    <row r="192" spans="1:18" x14ac:dyDescent="0.2">
      <c r="A192" s="89">
        <v>5</v>
      </c>
      <c r="B192" s="154">
        <f t="shared" si="45"/>
        <v>45778</v>
      </c>
      <c r="C192" s="171">
        <f t="shared" si="58"/>
        <v>45812</v>
      </c>
      <c r="D192" s="171">
        <f t="shared" si="58"/>
        <v>45832</v>
      </c>
      <c r="E192" s="1" t="s">
        <v>57</v>
      </c>
      <c r="F192" s="89">
        <v>9</v>
      </c>
      <c r="G192" s="156">
        <v>39</v>
      </c>
      <c r="H192" s="157">
        <f t="shared" si="46"/>
        <v>1110.3699999999999</v>
      </c>
      <c r="I192" s="157">
        <f t="shared" si="57"/>
        <v>1038.9100000000001</v>
      </c>
      <c r="J192" s="108">
        <f t="shared" si="47"/>
        <v>40517.490000000005</v>
      </c>
      <c r="K192" s="158">
        <f t="shared" si="41"/>
        <v>43304.429999999993</v>
      </c>
      <c r="L192" s="159">
        <f t="shared" si="59"/>
        <v>-2786.9399999999878</v>
      </c>
      <c r="M192" s="108">
        <f t="shared" si="48"/>
        <v>215.55803517252065</v>
      </c>
      <c r="N192" s="160">
        <f t="shared" si="49"/>
        <v>-2571.3819648274671</v>
      </c>
      <c r="O192" s="108">
        <v>0</v>
      </c>
      <c r="P192" s="108">
        <v>0</v>
      </c>
      <c r="Q192" s="108">
        <v>0</v>
      </c>
      <c r="R192" s="160">
        <f t="shared" si="50"/>
        <v>-2571.3819648274671</v>
      </c>
    </row>
    <row r="193" spans="1:18" x14ac:dyDescent="0.2">
      <c r="A193" s="89">
        <v>6</v>
      </c>
      <c r="B193" s="154">
        <f t="shared" si="45"/>
        <v>45809</v>
      </c>
      <c r="C193" s="171">
        <f t="shared" si="58"/>
        <v>45841</v>
      </c>
      <c r="D193" s="171">
        <f t="shared" si="58"/>
        <v>45862</v>
      </c>
      <c r="E193" s="1" t="s">
        <v>57</v>
      </c>
      <c r="F193" s="89">
        <v>9</v>
      </c>
      <c r="G193" s="156">
        <v>47</v>
      </c>
      <c r="H193" s="157">
        <f t="shared" si="46"/>
        <v>1110.3699999999999</v>
      </c>
      <c r="I193" s="157">
        <f t="shared" si="57"/>
        <v>1038.9100000000001</v>
      </c>
      <c r="J193" s="108">
        <f t="shared" si="47"/>
        <v>48828.770000000004</v>
      </c>
      <c r="K193" s="158">
        <f t="shared" si="41"/>
        <v>52187.389999999992</v>
      </c>
      <c r="L193" s="159">
        <f t="shared" si="59"/>
        <v>-3358.6199999999881</v>
      </c>
      <c r="M193" s="108">
        <f t="shared" si="48"/>
        <v>259.77506802842231</v>
      </c>
      <c r="N193" s="160">
        <f t="shared" si="49"/>
        <v>-3098.8449319715655</v>
      </c>
      <c r="O193" s="108">
        <v>0</v>
      </c>
      <c r="P193" s="108">
        <v>0</v>
      </c>
      <c r="Q193" s="108">
        <v>0</v>
      </c>
      <c r="R193" s="160">
        <f t="shared" si="50"/>
        <v>-3098.8449319715655</v>
      </c>
    </row>
    <row r="194" spans="1:18" x14ac:dyDescent="0.2">
      <c r="A194" s="89">
        <v>7</v>
      </c>
      <c r="B194" s="154">
        <f t="shared" si="45"/>
        <v>45839</v>
      </c>
      <c r="C194" s="171">
        <f t="shared" si="58"/>
        <v>45874</v>
      </c>
      <c r="D194" s="171">
        <f t="shared" si="58"/>
        <v>45894</v>
      </c>
      <c r="E194" s="1" t="s">
        <v>57</v>
      </c>
      <c r="F194" s="89">
        <v>9</v>
      </c>
      <c r="G194" s="156">
        <v>53</v>
      </c>
      <c r="H194" s="157">
        <f t="shared" si="46"/>
        <v>1110.3699999999999</v>
      </c>
      <c r="I194" s="157">
        <f t="shared" si="57"/>
        <v>1038.9100000000001</v>
      </c>
      <c r="J194" s="108">
        <f t="shared" si="47"/>
        <v>55062.23</v>
      </c>
      <c r="K194" s="158">
        <f t="shared" si="41"/>
        <v>58849.609999999993</v>
      </c>
      <c r="L194" s="159">
        <f t="shared" si="59"/>
        <v>-3787.3799999999901</v>
      </c>
      <c r="M194" s="108">
        <f t="shared" si="48"/>
        <v>292.93784267034857</v>
      </c>
      <c r="N194" s="160">
        <f t="shared" si="49"/>
        <v>-3494.4421573296413</v>
      </c>
      <c r="O194" s="108">
        <v>0</v>
      </c>
      <c r="P194" s="108">
        <v>0</v>
      </c>
      <c r="Q194" s="108">
        <v>0</v>
      </c>
      <c r="R194" s="160">
        <f t="shared" si="50"/>
        <v>-3494.4421573296413</v>
      </c>
    </row>
    <row r="195" spans="1:18" x14ac:dyDescent="0.2">
      <c r="A195" s="89">
        <v>8</v>
      </c>
      <c r="B195" s="154">
        <f t="shared" si="45"/>
        <v>45870</v>
      </c>
      <c r="C195" s="171">
        <f t="shared" si="58"/>
        <v>45904</v>
      </c>
      <c r="D195" s="171">
        <f t="shared" si="58"/>
        <v>45924</v>
      </c>
      <c r="E195" s="1" t="s">
        <v>57</v>
      </c>
      <c r="F195" s="89">
        <v>9</v>
      </c>
      <c r="G195" s="156">
        <v>52</v>
      </c>
      <c r="H195" s="157">
        <f t="shared" si="46"/>
        <v>1110.3699999999999</v>
      </c>
      <c r="I195" s="157">
        <f t="shared" si="57"/>
        <v>1038.9100000000001</v>
      </c>
      <c r="J195" s="108">
        <f t="shared" si="47"/>
        <v>54023.320000000007</v>
      </c>
      <c r="K195" s="158">
        <f t="shared" si="41"/>
        <v>57739.239999999991</v>
      </c>
      <c r="L195" s="159">
        <f t="shared" si="59"/>
        <v>-3715.9199999999837</v>
      </c>
      <c r="M195" s="108">
        <f t="shared" si="48"/>
        <v>287.41071356336084</v>
      </c>
      <c r="N195" s="160">
        <f t="shared" si="49"/>
        <v>-3428.5092864366229</v>
      </c>
      <c r="O195" s="108">
        <v>0</v>
      </c>
      <c r="P195" s="108">
        <v>0</v>
      </c>
      <c r="Q195" s="108">
        <v>0</v>
      </c>
      <c r="R195" s="160">
        <f t="shared" si="50"/>
        <v>-3428.5092864366229</v>
      </c>
    </row>
    <row r="196" spans="1:18" x14ac:dyDescent="0.2">
      <c r="A196" s="89">
        <v>9</v>
      </c>
      <c r="B196" s="154">
        <f t="shared" si="45"/>
        <v>45901</v>
      </c>
      <c r="C196" s="171">
        <f t="shared" si="58"/>
        <v>45933</v>
      </c>
      <c r="D196" s="171">
        <f t="shared" si="58"/>
        <v>45954</v>
      </c>
      <c r="E196" s="1" t="s">
        <v>57</v>
      </c>
      <c r="F196" s="89">
        <v>9</v>
      </c>
      <c r="G196" s="156">
        <v>45</v>
      </c>
      <c r="H196" s="157">
        <f t="shared" si="46"/>
        <v>1110.3699999999999</v>
      </c>
      <c r="I196" s="157">
        <f t="shared" si="57"/>
        <v>1038.9100000000001</v>
      </c>
      <c r="J196" s="108">
        <f t="shared" si="47"/>
        <v>46750.950000000004</v>
      </c>
      <c r="K196" s="158">
        <f t="shared" si="41"/>
        <v>49966.649999999994</v>
      </c>
      <c r="L196" s="159">
        <f t="shared" si="59"/>
        <v>-3215.6999999999898</v>
      </c>
      <c r="M196" s="108">
        <f t="shared" si="48"/>
        <v>248.72080981444688</v>
      </c>
      <c r="N196" s="160">
        <f t="shared" si="49"/>
        <v>-2966.9791901855428</v>
      </c>
      <c r="O196" s="108">
        <v>0</v>
      </c>
      <c r="P196" s="108">
        <v>0</v>
      </c>
      <c r="Q196" s="108">
        <v>0</v>
      </c>
      <c r="R196" s="160">
        <f t="shared" si="50"/>
        <v>-2966.9791901855428</v>
      </c>
    </row>
    <row r="197" spans="1:18" x14ac:dyDescent="0.2">
      <c r="A197" s="89">
        <v>10</v>
      </c>
      <c r="B197" s="154">
        <f t="shared" si="45"/>
        <v>45931</v>
      </c>
      <c r="C197" s="171">
        <f t="shared" si="58"/>
        <v>45966</v>
      </c>
      <c r="D197" s="171">
        <f t="shared" si="58"/>
        <v>45985</v>
      </c>
      <c r="E197" s="1" t="s">
        <v>57</v>
      </c>
      <c r="F197" s="89">
        <v>9</v>
      </c>
      <c r="G197" s="156">
        <v>41</v>
      </c>
      <c r="H197" s="157">
        <f t="shared" si="46"/>
        <v>1110.3699999999999</v>
      </c>
      <c r="I197" s="157">
        <f t="shared" si="57"/>
        <v>1038.9100000000001</v>
      </c>
      <c r="J197" s="108">
        <f t="shared" si="47"/>
        <v>42595.310000000005</v>
      </c>
      <c r="K197" s="158">
        <f t="shared" si="41"/>
        <v>45525.17</v>
      </c>
      <c r="L197" s="159">
        <f t="shared" si="59"/>
        <v>-2929.8599999999933</v>
      </c>
      <c r="M197" s="108">
        <f t="shared" si="48"/>
        <v>226.61229338649605</v>
      </c>
      <c r="N197" s="160">
        <f t="shared" si="49"/>
        <v>-2703.247706613497</v>
      </c>
      <c r="O197" s="108">
        <v>0</v>
      </c>
      <c r="P197" s="108">
        <v>0</v>
      </c>
      <c r="Q197" s="108">
        <v>0</v>
      </c>
      <c r="R197" s="160">
        <f t="shared" si="50"/>
        <v>-2703.247706613497</v>
      </c>
    </row>
    <row r="198" spans="1:18" x14ac:dyDescent="0.2">
      <c r="A198" s="89">
        <v>11</v>
      </c>
      <c r="B198" s="154">
        <f t="shared" si="45"/>
        <v>45962</v>
      </c>
      <c r="C198" s="171">
        <f t="shared" si="58"/>
        <v>45994</v>
      </c>
      <c r="D198" s="171">
        <f t="shared" si="58"/>
        <v>46015</v>
      </c>
      <c r="E198" s="1" t="s">
        <v>57</v>
      </c>
      <c r="F198" s="89">
        <v>9</v>
      </c>
      <c r="G198" s="156">
        <v>29</v>
      </c>
      <c r="H198" s="157">
        <f t="shared" si="46"/>
        <v>1110.3699999999999</v>
      </c>
      <c r="I198" s="157">
        <f t="shared" si="57"/>
        <v>1038.9100000000001</v>
      </c>
      <c r="J198" s="108">
        <f t="shared" si="47"/>
        <v>30128.390000000003</v>
      </c>
      <c r="K198" s="158">
        <f t="shared" ref="K198:K209" si="60">+$G198*H198</f>
        <v>32200.729999999996</v>
      </c>
      <c r="L198" s="159">
        <f t="shared" si="59"/>
        <v>-2072.3399999999929</v>
      </c>
      <c r="M198" s="108">
        <f t="shared" si="48"/>
        <v>160.28674410264355</v>
      </c>
      <c r="N198" s="160">
        <f t="shared" si="49"/>
        <v>-1912.0532558973493</v>
      </c>
      <c r="O198" s="108">
        <v>0</v>
      </c>
      <c r="P198" s="108">
        <v>0</v>
      </c>
      <c r="Q198" s="108">
        <v>0</v>
      </c>
      <c r="R198" s="160">
        <f t="shared" si="50"/>
        <v>-1912.0532558973493</v>
      </c>
    </row>
    <row r="199" spans="1:18" s="175" customFormat="1" x14ac:dyDescent="0.2">
      <c r="A199" s="89">
        <v>12</v>
      </c>
      <c r="B199" s="173">
        <f t="shared" si="45"/>
        <v>45992</v>
      </c>
      <c r="C199" s="171">
        <f t="shared" si="58"/>
        <v>46028</v>
      </c>
      <c r="D199" s="171">
        <f t="shared" si="58"/>
        <v>46048</v>
      </c>
      <c r="E199" s="174" t="s">
        <v>57</v>
      </c>
      <c r="F199" s="131">
        <v>9</v>
      </c>
      <c r="G199" s="162">
        <v>36</v>
      </c>
      <c r="H199" s="163">
        <f t="shared" si="46"/>
        <v>1110.3699999999999</v>
      </c>
      <c r="I199" s="163">
        <f t="shared" si="57"/>
        <v>1038.9100000000001</v>
      </c>
      <c r="J199" s="164">
        <f t="shared" si="47"/>
        <v>37400.76</v>
      </c>
      <c r="K199" s="165">
        <f t="shared" si="60"/>
        <v>39973.319999999992</v>
      </c>
      <c r="L199" s="166">
        <f t="shared" si="59"/>
        <v>-2572.5599999999904</v>
      </c>
      <c r="M199" s="164">
        <f t="shared" si="48"/>
        <v>198.97664785155752</v>
      </c>
      <c r="N199" s="185">
        <f t="shared" si="49"/>
        <v>-2373.5833521484328</v>
      </c>
      <c r="O199" s="164">
        <v>0</v>
      </c>
      <c r="P199" s="164">
        <v>0</v>
      </c>
      <c r="Q199" s="164">
        <v>0</v>
      </c>
      <c r="R199" s="185">
        <f t="shared" si="50"/>
        <v>-2373.5833521484328</v>
      </c>
    </row>
    <row r="200" spans="1:18" x14ac:dyDescent="0.2">
      <c r="A200" s="89">
        <v>1</v>
      </c>
      <c r="B200" s="154">
        <f t="shared" si="45"/>
        <v>45658</v>
      </c>
      <c r="C200" s="168">
        <f t="shared" si="58"/>
        <v>45693</v>
      </c>
      <c r="D200" s="168">
        <f t="shared" si="58"/>
        <v>45712</v>
      </c>
      <c r="E200" s="155" t="s">
        <v>17</v>
      </c>
      <c r="F200" s="89">
        <v>9</v>
      </c>
      <c r="G200" s="156">
        <v>106</v>
      </c>
      <c r="H200" s="157">
        <f t="shared" si="46"/>
        <v>1110.3699999999999</v>
      </c>
      <c r="I200" s="157">
        <f t="shared" si="57"/>
        <v>1038.9100000000001</v>
      </c>
      <c r="J200" s="108">
        <f t="shared" si="47"/>
        <v>110124.46</v>
      </c>
      <c r="K200" s="158">
        <f t="shared" si="60"/>
        <v>117699.21999999999</v>
      </c>
      <c r="L200" s="159">
        <f t="shared" si="59"/>
        <v>-7574.7599999999802</v>
      </c>
      <c r="M200" s="108">
        <f t="shared" si="48"/>
        <v>585.87568534069715</v>
      </c>
      <c r="N200" s="160">
        <f t="shared" si="49"/>
        <v>-6988.8843146592826</v>
      </c>
      <c r="O200" s="108">
        <v>0</v>
      </c>
      <c r="P200" s="108">
        <v>0</v>
      </c>
      <c r="Q200" s="108">
        <v>0</v>
      </c>
      <c r="R200" s="160">
        <f t="shared" si="50"/>
        <v>-6988.8843146592826</v>
      </c>
    </row>
    <row r="201" spans="1:18" x14ac:dyDescent="0.2">
      <c r="A201" s="89">
        <v>2</v>
      </c>
      <c r="B201" s="154">
        <f t="shared" si="45"/>
        <v>45689</v>
      </c>
      <c r="C201" s="171">
        <f t="shared" si="58"/>
        <v>45721</v>
      </c>
      <c r="D201" s="171">
        <f t="shared" si="58"/>
        <v>45740</v>
      </c>
      <c r="E201" s="161" t="s">
        <v>17</v>
      </c>
      <c r="F201" s="89">
        <v>9</v>
      </c>
      <c r="G201" s="156">
        <v>102</v>
      </c>
      <c r="H201" s="157">
        <f t="shared" si="46"/>
        <v>1110.3699999999999</v>
      </c>
      <c r="I201" s="157">
        <f t="shared" si="57"/>
        <v>1038.9100000000001</v>
      </c>
      <c r="J201" s="108">
        <f t="shared" si="47"/>
        <v>105968.82</v>
      </c>
      <c r="K201" s="158">
        <f t="shared" si="60"/>
        <v>113257.73999999999</v>
      </c>
      <c r="L201" s="159">
        <f t="shared" si="59"/>
        <v>-7288.9199999999837</v>
      </c>
      <c r="M201" s="108">
        <f t="shared" si="48"/>
        <v>563.76716891274634</v>
      </c>
      <c r="N201" s="160">
        <f t="shared" si="49"/>
        <v>-6725.1528310872372</v>
      </c>
      <c r="O201" s="108">
        <v>0</v>
      </c>
      <c r="P201" s="108">
        <v>0</v>
      </c>
      <c r="Q201" s="108">
        <v>0</v>
      </c>
      <c r="R201" s="160">
        <f t="shared" si="50"/>
        <v>-6725.1528310872372</v>
      </c>
    </row>
    <row r="202" spans="1:18" x14ac:dyDescent="0.2">
      <c r="A202" s="89">
        <v>3</v>
      </c>
      <c r="B202" s="154">
        <f t="shared" si="45"/>
        <v>45717</v>
      </c>
      <c r="C202" s="171">
        <f t="shared" si="58"/>
        <v>45750</v>
      </c>
      <c r="D202" s="171">
        <f t="shared" si="58"/>
        <v>45771</v>
      </c>
      <c r="E202" s="161" t="s">
        <v>17</v>
      </c>
      <c r="F202" s="89">
        <v>9</v>
      </c>
      <c r="G202" s="156">
        <v>100</v>
      </c>
      <c r="H202" s="157">
        <f t="shared" si="46"/>
        <v>1110.3699999999999</v>
      </c>
      <c r="I202" s="157">
        <f t="shared" si="57"/>
        <v>1038.9100000000001</v>
      </c>
      <c r="J202" s="108">
        <f t="shared" si="47"/>
        <v>103891.00000000001</v>
      </c>
      <c r="K202" s="158">
        <f t="shared" si="60"/>
        <v>111036.99999999999</v>
      </c>
      <c r="L202" s="159">
        <f>+J202-K202</f>
        <v>-7145.9999999999709</v>
      </c>
      <c r="M202" s="108">
        <f t="shared" si="48"/>
        <v>552.71291069877088</v>
      </c>
      <c r="N202" s="160">
        <f t="shared" si="49"/>
        <v>-6593.2870893012005</v>
      </c>
      <c r="O202" s="108">
        <v>0</v>
      </c>
      <c r="P202" s="108">
        <v>0</v>
      </c>
      <c r="Q202" s="108">
        <v>0</v>
      </c>
      <c r="R202" s="160">
        <f t="shared" si="50"/>
        <v>-6593.2870893012005</v>
      </c>
    </row>
    <row r="203" spans="1:18" x14ac:dyDescent="0.2">
      <c r="A203" s="89">
        <v>4</v>
      </c>
      <c r="B203" s="154">
        <f t="shared" si="45"/>
        <v>45748</v>
      </c>
      <c r="C203" s="171">
        <f t="shared" si="58"/>
        <v>45782</v>
      </c>
      <c r="D203" s="171">
        <f t="shared" si="58"/>
        <v>45803</v>
      </c>
      <c r="E203" s="161" t="s">
        <v>17</v>
      </c>
      <c r="F203" s="89">
        <v>9</v>
      </c>
      <c r="G203" s="156">
        <v>60</v>
      </c>
      <c r="H203" s="157">
        <f t="shared" si="46"/>
        <v>1110.3699999999999</v>
      </c>
      <c r="I203" s="157">
        <f t="shared" si="57"/>
        <v>1038.9100000000001</v>
      </c>
      <c r="J203" s="108">
        <f t="shared" si="47"/>
        <v>62334.600000000006</v>
      </c>
      <c r="K203" s="158">
        <f t="shared" si="60"/>
        <v>66622.2</v>
      </c>
      <c r="L203" s="159">
        <f t="shared" ref="L203:L211" si="61">+J203-K203</f>
        <v>-4287.5999999999913</v>
      </c>
      <c r="M203" s="108">
        <f t="shared" si="48"/>
        <v>331.62774641926251</v>
      </c>
      <c r="N203" s="160">
        <f t="shared" si="49"/>
        <v>-3955.9722535807286</v>
      </c>
      <c r="O203" s="108">
        <v>0</v>
      </c>
      <c r="P203" s="108">
        <v>0</v>
      </c>
      <c r="Q203" s="108">
        <v>0</v>
      </c>
      <c r="R203" s="160">
        <f t="shared" si="50"/>
        <v>-3955.9722535807286</v>
      </c>
    </row>
    <row r="204" spans="1:18" x14ac:dyDescent="0.2">
      <c r="A204" s="89">
        <v>5</v>
      </c>
      <c r="B204" s="154">
        <f t="shared" si="45"/>
        <v>45778</v>
      </c>
      <c r="C204" s="171">
        <f t="shared" si="58"/>
        <v>45812</v>
      </c>
      <c r="D204" s="171">
        <f t="shared" si="58"/>
        <v>45832</v>
      </c>
      <c r="E204" s="1" t="s">
        <v>17</v>
      </c>
      <c r="F204" s="89">
        <v>9</v>
      </c>
      <c r="G204" s="156">
        <v>96</v>
      </c>
      <c r="H204" s="157">
        <f t="shared" si="46"/>
        <v>1110.3699999999999</v>
      </c>
      <c r="I204" s="157">
        <f t="shared" si="57"/>
        <v>1038.9100000000001</v>
      </c>
      <c r="J204" s="108">
        <f t="shared" si="47"/>
        <v>99735.360000000015</v>
      </c>
      <c r="K204" s="158">
        <f t="shared" si="60"/>
        <v>106595.51999999999</v>
      </c>
      <c r="L204" s="159">
        <f t="shared" si="61"/>
        <v>-6860.1599999999744</v>
      </c>
      <c r="M204" s="108">
        <f t="shared" si="48"/>
        <v>530.60439427082008</v>
      </c>
      <c r="N204" s="160">
        <f t="shared" si="49"/>
        <v>-6329.5556057291542</v>
      </c>
      <c r="O204" s="108">
        <v>0</v>
      </c>
      <c r="P204" s="108">
        <v>0</v>
      </c>
      <c r="Q204" s="108">
        <v>0</v>
      </c>
      <c r="R204" s="160">
        <f t="shared" si="50"/>
        <v>-6329.5556057291542</v>
      </c>
    </row>
    <row r="205" spans="1:18" x14ac:dyDescent="0.2">
      <c r="A205" s="89">
        <v>6</v>
      </c>
      <c r="B205" s="154">
        <f t="shared" si="45"/>
        <v>45809</v>
      </c>
      <c r="C205" s="171">
        <f t="shared" si="58"/>
        <v>45841</v>
      </c>
      <c r="D205" s="171">
        <f t="shared" si="58"/>
        <v>45862</v>
      </c>
      <c r="E205" s="1" t="s">
        <v>17</v>
      </c>
      <c r="F205" s="89">
        <v>9</v>
      </c>
      <c r="G205" s="156">
        <v>119</v>
      </c>
      <c r="H205" s="157">
        <f t="shared" si="46"/>
        <v>1110.3699999999999</v>
      </c>
      <c r="I205" s="157">
        <f t="shared" si="57"/>
        <v>1038.9100000000001</v>
      </c>
      <c r="J205" s="108">
        <f t="shared" si="47"/>
        <v>123630.29000000001</v>
      </c>
      <c r="K205" s="158">
        <f t="shared" si="60"/>
        <v>132134.03</v>
      </c>
      <c r="L205" s="159">
        <f t="shared" si="61"/>
        <v>-8503.7399999999907</v>
      </c>
      <c r="M205" s="108">
        <f t="shared" si="48"/>
        <v>657.72836373153734</v>
      </c>
      <c r="N205" s="160">
        <f t="shared" si="49"/>
        <v>-7846.011636268453</v>
      </c>
      <c r="O205" s="108">
        <v>0</v>
      </c>
      <c r="P205" s="108">
        <v>0</v>
      </c>
      <c r="Q205" s="108">
        <v>0</v>
      </c>
      <c r="R205" s="160">
        <f t="shared" si="50"/>
        <v>-7846.011636268453</v>
      </c>
    </row>
    <row r="206" spans="1:18" x14ac:dyDescent="0.2">
      <c r="A206" s="89">
        <v>7</v>
      </c>
      <c r="B206" s="154">
        <f t="shared" si="45"/>
        <v>45839</v>
      </c>
      <c r="C206" s="171">
        <f t="shared" si="58"/>
        <v>45874</v>
      </c>
      <c r="D206" s="171">
        <f t="shared" si="58"/>
        <v>45894</v>
      </c>
      <c r="E206" s="1" t="s">
        <v>17</v>
      </c>
      <c r="F206" s="89">
        <v>9</v>
      </c>
      <c r="G206" s="156">
        <v>118</v>
      </c>
      <c r="H206" s="157">
        <f t="shared" si="46"/>
        <v>1110.3699999999999</v>
      </c>
      <c r="I206" s="157">
        <f t="shared" si="57"/>
        <v>1038.9100000000001</v>
      </c>
      <c r="J206" s="108">
        <f t="shared" si="47"/>
        <v>122591.38</v>
      </c>
      <c r="K206" s="158">
        <f t="shared" si="60"/>
        <v>131023.65999999999</v>
      </c>
      <c r="L206" s="159">
        <f t="shared" si="61"/>
        <v>-8432.2799999999843</v>
      </c>
      <c r="M206" s="108">
        <f t="shared" si="48"/>
        <v>652.20123462454967</v>
      </c>
      <c r="N206" s="160">
        <f t="shared" si="49"/>
        <v>-7780.0787653754342</v>
      </c>
      <c r="O206" s="108">
        <v>0</v>
      </c>
      <c r="P206" s="108">
        <v>0</v>
      </c>
      <c r="Q206" s="108">
        <v>0</v>
      </c>
      <c r="R206" s="160">
        <f t="shared" si="50"/>
        <v>-7780.0787653754342</v>
      </c>
    </row>
    <row r="207" spans="1:18" x14ac:dyDescent="0.2">
      <c r="A207" s="89">
        <v>8</v>
      </c>
      <c r="B207" s="154">
        <f t="shared" si="45"/>
        <v>45870</v>
      </c>
      <c r="C207" s="171">
        <f t="shared" si="58"/>
        <v>45904</v>
      </c>
      <c r="D207" s="171">
        <f t="shared" si="58"/>
        <v>45924</v>
      </c>
      <c r="E207" s="1" t="s">
        <v>17</v>
      </c>
      <c r="F207" s="89">
        <v>9</v>
      </c>
      <c r="G207" s="156">
        <v>119</v>
      </c>
      <c r="H207" s="157">
        <f t="shared" si="46"/>
        <v>1110.3699999999999</v>
      </c>
      <c r="I207" s="157">
        <f t="shared" si="57"/>
        <v>1038.9100000000001</v>
      </c>
      <c r="J207" s="108">
        <f t="shared" si="47"/>
        <v>123630.29000000001</v>
      </c>
      <c r="K207" s="158">
        <f t="shared" si="60"/>
        <v>132134.03</v>
      </c>
      <c r="L207" s="159">
        <f t="shared" si="61"/>
        <v>-8503.7399999999907</v>
      </c>
      <c r="M207" s="108">
        <f t="shared" si="48"/>
        <v>657.72836373153734</v>
      </c>
      <c r="N207" s="160">
        <f t="shared" si="49"/>
        <v>-7846.011636268453</v>
      </c>
      <c r="O207" s="108">
        <v>0</v>
      </c>
      <c r="P207" s="108">
        <v>0</v>
      </c>
      <c r="Q207" s="108">
        <v>0</v>
      </c>
      <c r="R207" s="160">
        <f t="shared" si="50"/>
        <v>-7846.011636268453</v>
      </c>
    </row>
    <row r="208" spans="1:18" x14ac:dyDescent="0.2">
      <c r="A208" s="89">
        <v>9</v>
      </c>
      <c r="B208" s="154">
        <f t="shared" si="45"/>
        <v>45901</v>
      </c>
      <c r="C208" s="171">
        <f t="shared" si="58"/>
        <v>45933</v>
      </c>
      <c r="D208" s="171">
        <f t="shared" si="58"/>
        <v>45954</v>
      </c>
      <c r="E208" s="1" t="s">
        <v>17</v>
      </c>
      <c r="F208" s="89">
        <v>9</v>
      </c>
      <c r="G208" s="156">
        <v>101</v>
      </c>
      <c r="H208" s="157">
        <f t="shared" si="46"/>
        <v>1110.3699999999999</v>
      </c>
      <c r="I208" s="157">
        <f t="shared" si="57"/>
        <v>1038.9100000000001</v>
      </c>
      <c r="J208" s="108">
        <f t="shared" si="47"/>
        <v>104929.91</v>
      </c>
      <c r="K208" s="158">
        <f t="shared" si="60"/>
        <v>112147.37</v>
      </c>
      <c r="L208" s="159">
        <f t="shared" si="61"/>
        <v>-7217.4599999999919</v>
      </c>
      <c r="M208" s="108">
        <f t="shared" si="48"/>
        <v>558.24003980575856</v>
      </c>
      <c r="N208" s="160">
        <f t="shared" si="49"/>
        <v>-6659.219960194233</v>
      </c>
      <c r="O208" s="108">
        <v>0</v>
      </c>
      <c r="P208" s="108">
        <v>0</v>
      </c>
      <c r="Q208" s="108">
        <v>0</v>
      </c>
      <c r="R208" s="160">
        <f t="shared" si="50"/>
        <v>-6659.219960194233</v>
      </c>
    </row>
    <row r="209" spans="1:18" x14ac:dyDescent="0.2">
      <c r="A209" s="89">
        <v>10</v>
      </c>
      <c r="B209" s="154">
        <f t="shared" si="45"/>
        <v>45931</v>
      </c>
      <c r="C209" s="171">
        <f t="shared" si="58"/>
        <v>45966</v>
      </c>
      <c r="D209" s="171">
        <f t="shared" si="58"/>
        <v>45985</v>
      </c>
      <c r="E209" s="1" t="s">
        <v>17</v>
      </c>
      <c r="F209" s="89">
        <v>9</v>
      </c>
      <c r="G209" s="156">
        <v>106</v>
      </c>
      <c r="H209" s="157">
        <f t="shared" si="46"/>
        <v>1110.3699999999999</v>
      </c>
      <c r="I209" s="157">
        <f t="shared" si="57"/>
        <v>1038.9100000000001</v>
      </c>
      <c r="J209" s="108">
        <f t="shared" si="47"/>
        <v>110124.46</v>
      </c>
      <c r="K209" s="158">
        <f t="shared" si="60"/>
        <v>117699.21999999999</v>
      </c>
      <c r="L209" s="159">
        <f t="shared" si="61"/>
        <v>-7574.7599999999802</v>
      </c>
      <c r="M209" s="108">
        <f t="shared" si="48"/>
        <v>585.87568534069715</v>
      </c>
      <c r="N209" s="160">
        <f t="shared" si="49"/>
        <v>-6988.8843146592826</v>
      </c>
      <c r="O209" s="108">
        <v>0</v>
      </c>
      <c r="P209" s="108">
        <v>0</v>
      </c>
      <c r="Q209" s="108">
        <v>0</v>
      </c>
      <c r="R209" s="160">
        <f t="shared" si="50"/>
        <v>-6988.8843146592826</v>
      </c>
    </row>
    <row r="210" spans="1:18" x14ac:dyDescent="0.2">
      <c r="A210" s="89">
        <v>11</v>
      </c>
      <c r="B210" s="154">
        <f t="shared" si="45"/>
        <v>45962</v>
      </c>
      <c r="C210" s="171">
        <f t="shared" si="58"/>
        <v>45994</v>
      </c>
      <c r="D210" s="171">
        <f t="shared" si="58"/>
        <v>46015</v>
      </c>
      <c r="E210" s="1" t="s">
        <v>17</v>
      </c>
      <c r="F210" s="89">
        <v>9</v>
      </c>
      <c r="G210" s="156">
        <v>35</v>
      </c>
      <c r="H210" s="157">
        <f t="shared" si="46"/>
        <v>1110.3699999999999</v>
      </c>
      <c r="I210" s="157">
        <f t="shared" si="57"/>
        <v>1038.9100000000001</v>
      </c>
      <c r="J210" s="108">
        <f t="shared" si="47"/>
        <v>36361.850000000006</v>
      </c>
      <c r="K210" s="158">
        <f>+$G210*H210</f>
        <v>38862.949999999997</v>
      </c>
      <c r="L210" s="159">
        <f t="shared" si="61"/>
        <v>-2501.0999999999913</v>
      </c>
      <c r="M210" s="108">
        <f t="shared" si="48"/>
        <v>193.44951874456981</v>
      </c>
      <c r="N210" s="160">
        <f t="shared" si="49"/>
        <v>-2307.6504812554213</v>
      </c>
      <c r="O210" s="108">
        <v>0</v>
      </c>
      <c r="P210" s="108">
        <v>0</v>
      </c>
      <c r="Q210" s="108">
        <v>0</v>
      </c>
      <c r="R210" s="160">
        <f t="shared" si="50"/>
        <v>-2307.6504812554213</v>
      </c>
    </row>
    <row r="211" spans="1:18" s="175" customFormat="1" x14ac:dyDescent="0.2">
      <c r="A211" s="89">
        <v>12</v>
      </c>
      <c r="B211" s="173">
        <f t="shared" si="45"/>
        <v>45992</v>
      </c>
      <c r="C211" s="176">
        <f t="shared" si="58"/>
        <v>46028</v>
      </c>
      <c r="D211" s="176">
        <f t="shared" si="58"/>
        <v>46048</v>
      </c>
      <c r="E211" s="174" t="s">
        <v>17</v>
      </c>
      <c r="F211" s="131">
        <v>9</v>
      </c>
      <c r="G211" s="162">
        <v>103</v>
      </c>
      <c r="H211" s="163">
        <f t="shared" si="46"/>
        <v>1110.3699999999999</v>
      </c>
      <c r="I211" s="163">
        <f t="shared" si="57"/>
        <v>1038.9100000000001</v>
      </c>
      <c r="J211" s="164">
        <f t="shared" si="47"/>
        <v>107007.73000000001</v>
      </c>
      <c r="K211" s="165">
        <f>+$G211*H211</f>
        <v>114368.10999999999</v>
      </c>
      <c r="L211" s="166">
        <f t="shared" si="61"/>
        <v>-7360.3799999999756</v>
      </c>
      <c r="M211" s="164">
        <f t="shared" si="48"/>
        <v>569.29429801973401</v>
      </c>
      <c r="N211" s="185">
        <f t="shared" si="49"/>
        <v>-6791.0857019802415</v>
      </c>
      <c r="O211" s="164">
        <v>0</v>
      </c>
      <c r="P211" s="164">
        <v>0</v>
      </c>
      <c r="Q211" s="164">
        <v>0</v>
      </c>
      <c r="R211" s="185">
        <f t="shared" si="50"/>
        <v>-6791.0857019802415</v>
      </c>
    </row>
    <row r="212" spans="1:18" x14ac:dyDescent="0.2">
      <c r="G212" s="181">
        <f>SUM(G20:G211)</f>
        <v>105873</v>
      </c>
      <c r="H212" s="45"/>
      <c r="J212" s="45">
        <f>SUM(J20:J211)</f>
        <v>109992518.42999992</v>
      </c>
      <c r="K212" s="45">
        <f>SUM(K20:K211)</f>
        <v>117558203.00999995</v>
      </c>
      <c r="L212" s="45">
        <f>SUM(L20:L211)</f>
        <v>-7565684.5799999749</v>
      </c>
      <c r="M212" s="45">
        <f>SUM(M20:M211)</f>
        <v>585173.73994411016</v>
      </c>
      <c r="N212" s="45"/>
      <c r="O212" s="45"/>
      <c r="P212" s="45">
        <f>SUM(P20:P211)</f>
        <v>0</v>
      </c>
      <c r="Q212" s="45"/>
      <c r="R212" s="182">
        <f>SUM(R20:R211)</f>
        <v>-6980510.8400558764</v>
      </c>
    </row>
    <row r="213" spans="1:18" x14ac:dyDescent="0.2">
      <c r="P213" s="45"/>
      <c r="Q213" s="45"/>
    </row>
    <row r="220" spans="1:18" x14ac:dyDescent="0.2">
      <c r="D220"/>
      <c r="F220"/>
      <c r="G220"/>
      <c r="H220"/>
      <c r="I220"/>
      <c r="J220"/>
      <c r="K220"/>
      <c r="L220"/>
      <c r="M220"/>
      <c r="N220"/>
      <c r="O220"/>
      <c r="P220"/>
      <c r="Q220"/>
    </row>
  </sheetData>
  <mergeCells count="4">
    <mergeCell ref="G2:H2"/>
    <mergeCell ref="G3:H3"/>
    <mergeCell ref="G7:H7"/>
    <mergeCell ref="G8:H8"/>
  </mergeCells>
  <phoneticPr fontId="0" type="noConversion"/>
  <pageMargins left="0.5" right="0.5" top="1.05" bottom="1" header="0.31" footer="0.5"/>
  <pageSetup scale="46" fitToHeight="0" orientation="landscape" cellComments="asDisplayed" r:id="rId1"/>
  <headerFooter alignWithMargins="0">
    <oddHeader>&amp;R&amp;F  &amp;A</oddHead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+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+Q09SUFxzMTc3MDQwPC9Vc2VyTmFtZT48RGF0ZVRpbWU+NC80LzIwMjIgMzoxMDozNSBQTTwvRGF0ZVRpbWU+PExhYmVsU3RyaW5nPkFFUCBJbnRlcm5hbDwvTGFiZWxTdHJpbmc+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+PC9zaXNsPjxVc2VyTmFtZT5DT1JQXHMxNzcwNDA8L1VzZXJOYW1lPjxEYXRlVGltZT41LzIzLzIwMjIgNTozNjoxMCBQTTwvRGF0ZVRpbWU+PExhYmVsU3RyaW5nPkFFUCBJbnRlcm5hbDwvTGFiZWxTdHJpbmc+PC9pdGVtPjwvbGFiZWxIaXN0b3J5Pg==</Value>
</WrappedLabelHistory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649C77599AAFD4B8FFD850D55630F3C" ma:contentTypeVersion="11" ma:contentTypeDescription="Create a new document." ma:contentTypeScope="" ma:versionID="ad751a9f435e1866f9f8a73a34278f13">
  <xsd:schema xmlns:xsd="http://www.w3.org/2001/XMLSchema" xmlns:xs="http://www.w3.org/2001/XMLSchema" xmlns:p="http://schemas.microsoft.com/office/2006/metadata/properties" xmlns:ns2="6a06342d-ce85-4729-8251-347f0ba4f840" xmlns:ns3="b6888f76-1100-40b0-929b-1efe9044426d" targetNamespace="http://schemas.microsoft.com/office/2006/metadata/properties" ma:root="true" ma:fieldsID="e425485e64401a05f4c6dac9240526dc" ns2:_="" ns3:_="">
    <xsd:import namespace="6a06342d-ce85-4729-8251-347f0ba4f840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06342d-ce85-4729-8251-347f0ba4f8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06342d-ce85-4729-8251-347f0ba4f840">
      <Terms xmlns="http://schemas.microsoft.com/office/infopath/2007/PartnerControls"/>
    </lcf76f155ced4ddcb4097134ff3c332f>
    <TaxCatchAll xmlns="b6888f76-1100-40b0-929b-1efe9044426d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</sisl>
</file>

<file path=customXml/itemProps1.xml><?xml version="1.0" encoding="utf-8"?>
<ds:datastoreItem xmlns:ds="http://schemas.openxmlformats.org/officeDocument/2006/customXml" ds:itemID="{E3D43697-9F71-49FA-BC17-9790EE502BD4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C966D9F7-FDD1-4016-94C1-35958D47A2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06342d-ce85-4729-8251-347f0ba4f840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3C5B8C8-E75B-49BC-AA47-359D97424576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F7D562C-1E05-480C-8E51-32D9070C86BD}">
  <ds:schemaRefs>
    <ds:schemaRef ds:uri="http://schemas.microsoft.com/office/2006/metadata/properties"/>
    <ds:schemaRef ds:uri="http://schemas.microsoft.com/office/infopath/2007/PartnerControls"/>
    <ds:schemaRef ds:uri="6a06342d-ce85-4729-8251-347f0ba4f840"/>
    <ds:schemaRef ds:uri="b6888f76-1100-40b0-929b-1efe9044426d"/>
  </ds:schemaRefs>
</ds:datastoreItem>
</file>

<file path=customXml/itemProps5.xml><?xml version="1.0" encoding="utf-8"?>
<ds:datastoreItem xmlns:ds="http://schemas.openxmlformats.org/officeDocument/2006/customXml" ds:itemID="{2CFE6107-F4E3-4939-A323-0818DCC6F73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Instructions</vt:lpstr>
      <vt:lpstr>20XX NOLC Refund Detail</vt:lpstr>
      <vt:lpstr>Summary</vt:lpstr>
      <vt:lpstr>Pivot</vt:lpstr>
      <vt:lpstr>Transactions</vt:lpstr>
      <vt:lpstr>Transactions!AS1_1999</vt:lpstr>
      <vt:lpstr>Instructions!Print_Area</vt:lpstr>
      <vt:lpstr>Summary!Print_Area</vt:lpstr>
      <vt:lpstr>Transactions!Print_Area</vt:lpstr>
      <vt:lpstr>Pivot!Print_Titles</vt:lpstr>
      <vt:lpstr>Transactions!Print_Titles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 Williamson</dc:creator>
  <cp:keywords/>
  <cp:lastModifiedBy>Allyson L Keaton</cp:lastModifiedBy>
  <cp:lastPrinted>2023-05-24T19:48:01Z</cp:lastPrinted>
  <dcterms:created xsi:type="dcterms:W3CDTF">2009-09-04T18:19:13Z</dcterms:created>
  <dcterms:modified xsi:type="dcterms:W3CDTF">2026-05-21T20:40:57Z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c64706a3-0b08-42c8-8051-4cf64e4cd637</vt:lpwstr>
  </property>
  <property fmtid="{D5CDD505-2E9C-101B-9397-08002B2CF9AE}" pid="3" name="bjSaver">
    <vt:lpwstr>clRxCTTKA7z930TtRLwKph96GxWYXtbn</vt:lpwstr>
  </property>
  <property fmtid="{D5CDD505-2E9C-101B-9397-08002B2CF9AE}" pid="4" name="bjDocumentSecurityLabel">
    <vt:lpwstr>AEP Internal</vt:lpwstr>
  </property>
  <property fmtid="{D5CDD505-2E9C-101B-9397-08002B2CF9AE}" pid="5" name="Visual Markings Removed">
    <vt:lpwstr>No</vt:lpwstr>
  </property>
  <property fmtid="{D5CDD505-2E9C-101B-9397-08002B2CF9AE}" pid="6" name="bjClsUserRVM">
    <vt:lpwstr>[]</vt:lpwstr>
  </property>
  <property fmtid="{D5CDD505-2E9C-101B-9397-08002B2CF9AE}" pid="7" name="MSIP_Label_69f43042-6bda-44b2-91eb-eca3d3d484f4_SiteId">
    <vt:lpwstr>15f3c881-6b03-4ff6-8559-77bf5177818f</vt:lpwstr>
  </property>
  <property fmtid="{D5CDD505-2E9C-101B-9397-08002B2CF9AE}" pid="8" name="MSIP_Label_69f43042-6bda-44b2-91eb-eca3d3d484f4_Name">
    <vt:lpwstr>AEP Internal</vt:lpwstr>
  </property>
  <property fmtid="{D5CDD505-2E9C-101B-9397-08002B2CF9AE}" pid="9" name="MSIP_Label_69f43042-6bda-44b2-91eb-eca3d3d484f4_Enabled">
    <vt:lpwstr>true</vt:lpwstr>
  </property>
  <property fmtid="{D5CDD505-2E9C-101B-9397-08002B2CF9AE}" pid="10" name="bjLabelHistoryID">
    <vt:lpwstr>{E3D43697-9F71-49FA-BC17-9790EE502BD4}</vt:lpwstr>
  </property>
  <property fmtid="{D5CDD505-2E9C-101B-9397-08002B2CF9AE}" pid="11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12" name="bjDocumentLabelXML-0">
    <vt:lpwstr>ames.com/2008/01/sie/internal/label"&gt;&lt;element uid="50c31824-0780-4910-87d1-eaaffd182d42" value="" /&gt;&lt;/sisl&gt;</vt:lpwstr>
  </property>
  <property fmtid="{D5CDD505-2E9C-101B-9397-08002B2CF9AE}" pid="13" name="ContentTypeId">
    <vt:lpwstr>0x0101002649C77599AAFD4B8FFD850D55630F3C</vt:lpwstr>
  </property>
  <property fmtid="{D5CDD505-2E9C-101B-9397-08002B2CF9AE}" pid="14" name="MediaServiceImageTags">
    <vt:lpwstr/>
  </property>
  <property fmtid="{D5CDD505-2E9C-101B-9397-08002B2CF9AE}" pid="15" name="bjpmDocIH">
    <vt:lpwstr>tMee0lY+QQaNhjKQa7tM5H9HydNafo19</vt:lpwstr>
  </property>
</Properties>
</file>